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706"/>
  <workbookPr codeName="ThisWorkbook"/>
  <bookViews>
    <workbookView xWindow="67080" yWindow="-11055" windowWidth="38640" windowHeight="21120"/>
  </bookViews>
  <sheets>
    <sheet name="CURRENT Accom Subs &amp; Travel" sheetId="5" r:id="rId1"/>
  </sheets>
  <definedNames>
    <definedName name="OSTemplate" comment="">TRUE</definedName>
  </definedNames>
  <calcPr fullPrecision="1"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<sst xmlns="http://schemas.openxmlformats.org/spreadsheetml/2006/main" uniqueCount="11" count="11">
  <si>
    <t>Accommodation, Subsistence and Travel</t>
  </si>
  <si>
    <t>Transparency Data</t>
  </si>
  <si>
    <t>All Staff</t>
  </si>
  <si>
    <t>January 2022 to February 2025 inclusive</t>
  </si>
  <si>
    <t>.</t>
  </si>
  <si>
    <t>Month</t>
  </si>
  <si>
    <t>Accommodation</t>
  </si>
  <si>
    <t>Subsistence</t>
  </si>
  <si>
    <t>Travel</t>
  </si>
  <si>
    <t>Other</t>
  </si>
  <si>
    <t>TOTAL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</si>
</sst>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1"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  <numFmt numFmtId="172" formatCode="&quot;£&quot;\ #,##0"/>
    <numFmt numFmtId="173" formatCode="mmmm\ yyyy"/>
    <numFmt numFmtId="174" formatCode="&quot;£&quot;\ #,##0.00"/>
  </numFmts>
  <fonts count="27">
    <font>
      <sz val="9"/>
      <name val="Arial"/>
      <family val="2"/>
      <charset val="0"/>
    </font>
    <font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sz val="9"/>
      <name val="Arial"/>
      <family val="2"/>
      <charset val="0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8"/>
      <color indexed="62"/>
      <name val="Cambria"/>
      <family val="2"/>
      <charset val="0"/>
    </font>
    <font>
      <sz val="8"/>
      <color indexed="62"/>
      <name val="Arial"/>
      <family val="2"/>
      <charset val="0"/>
    </font>
  </fonts>
  <fills count="5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0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3">
    <xf numFmtId="0" fontId="0" fillId="0" borderId="0"/>
    <xf numFmtId="164" fontId="0" fillId="0" borderId="0"/>
    <xf numFmtId="164" fontId="0" fillId="0" borderId="1"/>
    <xf numFmtId="165" fontId="0" fillId="0" borderId="0"/>
    <xf numFmtId="165" fontId="0" fillId="0" borderId="1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1"/>
    <xf numFmtId="164" fontId="0" fillId="2" borderId="2"/>
    <xf numFmtId="168" fontId="0" fillId="2" borderId="2"/>
    <xf numFmtId="0" fontId="0" fillId="2" borderId="2"/>
    <xf numFmtId="169" fontId="2" fillId="0" borderId="3">
      <alignment horizontal="center"/>
    </xf>
    <xf numFmtId="164" fontId="0" fillId="3" borderId="4">
      <protection locked="0"/>
    </xf>
    <xf numFmtId="165" fontId="0" fillId="3" borderId="4">
      <protection locked="0"/>
    </xf>
    <xf numFmtId="166" fontId="0" fillId="4" borderId="4">
      <alignment horizontal="right"/>
      <protection locked="0"/>
    </xf>
    <xf numFmtId="167" fontId="0" fillId="3" borderId="4">
      <alignment horizontal="right"/>
      <protection locked="0"/>
    </xf>
    <xf numFmtId="168" fontId="0" fillId="3" borderId="4">
      <protection locked="0"/>
    </xf>
    <xf numFmtId="0" fontId="0" fillId="5" borderId="4">
      <alignment horizontal="left"/>
      <protection locked="0"/>
    </xf>
    <xf numFmtId="170" fontId="0" fillId="3" borderId="4">
      <alignment horizontal="left" indent="1"/>
      <protection locked="0"/>
    </xf>
    <xf numFmtId="0" fontId="3" fillId="0" borderId="0"/>
    <xf numFmtId="0" fontId="0" fillId="0" borderId="0"/>
    <xf numFmtId="0" fontId="5" fillId="0" borderId="0"/>
    <xf numFmtId="0" fontId="6" fillId="0" borderId="0">
      <alignment horizontal="center"/>
    </xf>
    <xf numFmtId="0" fontId="0" fillId="6" borderId="0" applyAlignment="0" applyBorder="0" applyFont="0" applyNumberFormat="0"/>
    <xf numFmtId="0" fontId="1" fillId="7" borderId="5"/>
    <xf numFmtId="167" fontId="0" fillId="2" borderId="2"/>
    <xf numFmtId="171" fontId="9" fillId="2" borderId="2"/>
    <xf numFmtId="0" fontId="11" fillId="8" borderId="0"/>
    <xf numFmtId="0" fontId="18" fillId="9" borderId="0" applyAlignment="0" applyBorder="0" applyNumberFormat="0" applyProtection="0"/>
    <xf numFmtId="0" fontId="18" fillId="10" borderId="0" applyAlignment="0" applyBorder="0" applyNumberFormat="0" applyProtection="0"/>
    <xf numFmtId="0" fontId="17" fillId="11" borderId="0" applyAlignment="0" applyBorder="0" applyNumberFormat="0" applyProtection="0"/>
    <xf numFmtId="0" fontId="18" fillId="12" borderId="0" applyAlignment="0" applyBorder="0" applyNumberFormat="0" applyProtection="0"/>
    <xf numFmtId="0" fontId="18" fillId="13" borderId="0" applyAlignment="0" applyBorder="0" applyNumberFormat="0" applyProtection="0"/>
    <xf numFmtId="0" fontId="17" fillId="14" borderId="0" applyAlignment="0" applyBorder="0" applyNumberFormat="0" applyProtection="0"/>
    <xf numFmtId="0" fontId="18" fillId="15" borderId="0" applyAlignment="0" applyBorder="0" applyNumberFormat="0" applyProtection="0"/>
    <xf numFmtId="0" fontId="18" fillId="16" borderId="0" applyAlignment="0" applyBorder="0" applyNumberFormat="0" applyProtection="0"/>
    <xf numFmtId="0" fontId="17" fillId="17" borderId="0" applyAlignment="0" applyBorder="0" applyNumberFormat="0" applyProtection="0"/>
    <xf numFmtId="0" fontId="18" fillId="12" borderId="0" applyAlignment="0" applyBorder="0" applyNumberFormat="0" applyProtection="0"/>
    <xf numFmtId="0" fontId="18" fillId="18" borderId="0" applyAlignment="0" applyBorder="0" applyNumberFormat="0" applyProtection="0"/>
    <xf numFmtId="0" fontId="17" fillId="13" borderId="0" applyAlignment="0" applyBorder="0" applyNumberFormat="0" applyProtection="0"/>
    <xf numFmtId="0" fontId="18" fillId="19" borderId="0" applyAlignment="0" applyBorder="0" applyNumberFormat="0" applyProtection="0"/>
    <xf numFmtId="0" fontId="18" fillId="20" borderId="0" applyAlignment="0" applyBorder="0" applyNumberFormat="0" applyProtection="0"/>
    <xf numFmtId="0" fontId="17" fillId="11" borderId="0" applyAlignment="0" applyBorder="0" applyNumberFormat="0" applyProtection="0"/>
    <xf numFmtId="0" fontId="18" fillId="21" borderId="0" applyAlignment="0" applyBorder="0" applyNumberFormat="0" applyProtection="0"/>
    <xf numFmtId="0" fontId="18" fillId="22" borderId="0" applyAlignment="0" applyBorder="0" applyNumberFormat="0" applyProtection="0"/>
    <xf numFmtId="0" fontId="17" fillId="23" borderId="0" applyAlignment="0" applyBorder="0" applyNumberFormat="0" applyProtection="0"/>
    <xf numFmtId="0" fontId="19" fillId="21" borderId="0" applyAlignment="0" applyBorder="0" applyNumberFormat="0" applyProtection="0"/>
    <xf numFmtId="0" fontId="20" fillId="24" borderId="0" applyAlignment="0" applyBorder="0" applyNumberFormat="0" applyProtection="0"/>
    <xf numFmtId="0" fontId="20" fillId="25" borderId="0" applyAlignment="0" applyBorder="0" applyNumberFormat="0" applyProtection="0"/>
    <xf numFmtId="0" fontId="20" fillId="26" borderId="0" applyAlignment="0" applyBorder="0" applyNumberFormat="0" applyProtection="0"/>
    <xf numFmtId="0" fontId="18" fillId="16" borderId="0" applyAlignment="0" applyBorder="0" applyNumberFormat="0" applyProtection="0"/>
    <xf numFmtId="0" fontId="21" fillId="0" borderId="6" applyAlignment="0" applyNumberFormat="0" applyFill="0" applyProtection="0"/>
    <xf numFmtId="0" fontId="22" fillId="0" borderId="7" applyAlignment="0" applyNumberFormat="0" applyFill="0" applyProtection="0"/>
    <xf numFmtId="0" fontId="23" fillId="0" borderId="8" applyAlignment="0" applyNumberFormat="0" applyFill="0" applyProtection="0"/>
    <xf numFmtId="0" fontId="24" fillId="22" borderId="0" applyAlignment="0" applyBorder="0" applyNumberFormat="0" applyProtection="0"/>
    <xf numFmtId="4" fontId="11" fillId="27" borderId="9" applyNumberFormat="0" applyProtection="0">
      <alignment vertical="center"/>
    </xf>
    <xf numFmtId="4" fontId="26" fillId="3" borderId="9" applyNumberFormat="0" applyProtection="0">
      <alignment vertical="center"/>
    </xf>
    <xf numFmtId="4" fontId="11" fillId="3" borderId="9" applyNumberFormat="0" applyProtection="0">
      <alignment horizontal="left" vertical="center" indent="1"/>
    </xf>
    <xf numFmtId="0" fontId="14" fillId="27" borderId="10" applyNumberFormat="0" applyProtection="0">
      <alignment horizontal="left" vertical="top" indent="1"/>
    </xf>
    <xf numFmtId="4" fontId="11" fillId="28" borderId="9" applyNumberFormat="0" applyProtection="0">
      <alignment horizontal="left" vertical="center" indent="1"/>
    </xf>
    <xf numFmtId="4" fontId="11" fillId="29" borderId="9" applyNumberFormat="0" applyProtection="0">
      <alignment horizontal="right" vertical="center"/>
    </xf>
    <xf numFmtId="4" fontId="11" fillId="30" borderId="9" applyNumberFormat="0" applyProtection="0">
      <alignment horizontal="right" vertical="center"/>
    </xf>
    <xf numFmtId="4" fontId="11" fillId="31" borderId="1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9" applyNumberFormat="0" applyProtection="0">
      <alignment horizontal="right" vertical="center"/>
    </xf>
    <xf numFmtId="4" fontId="11" fillId="34" borderId="9" applyNumberFormat="0" applyProtection="0">
      <alignment horizontal="right" vertical="center"/>
    </xf>
    <xf numFmtId="4" fontId="11" fillId="35" borderId="9" applyNumberFormat="0" applyProtection="0">
      <alignment horizontal="right" vertical="center"/>
    </xf>
    <xf numFmtId="4" fontId="11" fillId="36" borderId="9" applyNumberFormat="0" applyProtection="0">
      <alignment horizontal="right" vertical="center"/>
    </xf>
    <xf numFmtId="4" fontId="11" fillId="37" borderId="9" applyNumberFormat="0" applyProtection="0">
      <alignment horizontal="right" vertical="center"/>
    </xf>
    <xf numFmtId="4" fontId="11" fillId="38" borderId="11" applyNumberFormat="0" applyProtection="0">
      <alignment horizontal="left" vertical="center" indent="1"/>
    </xf>
    <xf numFmtId="4" fontId="7" fillId="39" borderId="11" applyNumberFormat="0" applyProtection="0">
      <alignment horizontal="left" vertical="center" indent="1"/>
    </xf>
    <xf numFmtId="4" fontId="7" fillId="39" borderId="11" applyNumberFormat="0" applyProtection="0">
      <alignment horizontal="left" vertical="center" indent="1"/>
    </xf>
    <xf numFmtId="4" fontId="11" fillId="40" borderId="9" applyNumberFormat="0" applyProtection="0">
      <alignment horizontal="right" vertical="center"/>
    </xf>
    <xf numFmtId="4" fontId="11" fillId="41" borderId="11" applyNumberFormat="0" applyProtection="0">
      <alignment horizontal="left" vertical="center" indent="1"/>
    </xf>
    <xf numFmtId="4" fontId="11" fillId="40" borderId="11" applyNumberFormat="0" applyProtection="0">
      <alignment horizontal="left" vertical="center" indent="1"/>
    </xf>
    <xf numFmtId="0" fontId="11" fillId="42" borderId="9" applyNumberFormat="0" applyProtection="0">
      <alignment horizontal="left" vertical="center" indent="1"/>
    </xf>
    <xf numFmtId="0" fontId="11" fillId="39" borderId="10" applyNumberFormat="0" applyProtection="0">
      <alignment horizontal="left" vertical="top" indent="1"/>
    </xf>
    <xf numFmtId="0" fontId="11" fillId="43" borderId="9" applyNumberFormat="0" applyProtection="0">
      <alignment horizontal="left" vertical="center" indent="1"/>
    </xf>
    <xf numFmtId="0" fontId="11" fillId="40" borderId="10" applyNumberFormat="0" applyProtection="0">
      <alignment horizontal="left" vertical="top" indent="1"/>
    </xf>
    <xf numFmtId="0" fontId="11" fillId="44" borderId="9" applyNumberFormat="0" applyProtection="0">
      <alignment horizontal="left" vertical="center" indent="1"/>
    </xf>
    <xf numFmtId="0" fontId="11" fillId="44" borderId="10" applyNumberFormat="0" applyProtection="0">
      <alignment horizontal="left" vertical="top" indent="1"/>
    </xf>
    <xf numFmtId="0" fontId="11" fillId="41" borderId="9" applyNumberFormat="0" applyProtection="0">
      <alignment horizontal="left" vertical="center" indent="1"/>
    </xf>
    <xf numFmtId="0" fontId="11" fillId="41" borderId="10" applyNumberFormat="0" applyProtection="0">
      <alignment horizontal="left" vertical="top" indent="1"/>
    </xf>
    <xf numFmtId="0" fontId="11" fillId="45" borderId="12" applyNumberFormat="0">
      <protection locked="0"/>
    </xf>
    <xf numFmtId="0" fontId="12" fillId="39" borderId="13" applyBorder="0"/>
    <xf numFmtId="4" fontId="13" fillId="46" borderId="10" applyNumberFormat="0" applyProtection="0">
      <alignment vertical="center"/>
    </xf>
    <xf numFmtId="4" fontId="26" fillId="47" borderId="3" applyNumberFormat="0" applyProtection="0">
      <alignment vertical="center"/>
    </xf>
    <xf numFmtId="4" fontId="13" fillId="42" borderId="10" applyNumberFormat="0" applyProtection="0">
      <alignment horizontal="left" vertical="center" indent="1"/>
    </xf>
    <xf numFmtId="0" fontId="13" fillId="46" borderId="10" applyNumberFormat="0" applyProtection="0">
      <alignment horizontal="left" vertical="top" indent="1"/>
    </xf>
    <xf numFmtId="4" fontId="11" fillId="0" borderId="9" applyNumberFormat="0" applyProtection="0">
      <alignment horizontal="right" vertical="center"/>
    </xf>
    <xf numFmtId="4" fontId="26" fillId="2" borderId="9" applyNumberFormat="0" applyProtection="0">
      <alignment horizontal="right" vertical="center"/>
    </xf>
    <xf numFmtId="4" fontId="11" fillId="28" borderId="9" applyNumberFormat="0" applyProtection="0">
      <alignment horizontal="left" vertical="center" indent="1"/>
    </xf>
    <xf numFmtId="0" fontId="13" fillId="40" borderId="10" applyNumberFormat="0" applyProtection="0">
      <alignment horizontal="left" vertical="top" indent="1"/>
    </xf>
    <xf numFmtId="4" fontId="15" fillId="48" borderId="11" applyNumberFormat="0" applyProtection="0">
      <alignment horizontal="left" vertical="center" indent="1"/>
    </xf>
    <xf numFmtId="0" fontId="11" fillId="49" borderId="3"/>
    <xf numFmtId="4" fontId="16" fillId="45" borderId="9" applyNumberFormat="0" applyProtection="0">
      <alignment horizontal="right" vertical="center"/>
    </xf>
    <xf numFmtId="0" fontId="25" fillId="0" borderId="0" applyAlignment="0" applyBorder="0" applyNumberFormat="0" applyFill="0" applyProtection="0"/>
    <xf numFmtId="0" fontId="11" fillId="8" borderId="0"/>
  </cellStyleXfs>
  <cellXfs>
    <xf numFmtId="0" fontId="0" fillId="0" borderId="0" xfId="0"/>
    <xf numFmtId="172" fontId="7" fillId="0" borderId="0" xfId="90" applyAlignment="1" applyBorder="1" applyFont="1" applyNumberFormat="1">
      <alignment horizontal="right" vertical="center"/>
    </xf>
    <xf numFmtId="0" fontId="1" fillId="50" borderId="14" xfId="0" applyBorder="1" applyFont="1" applyFill="1"/>
    <xf numFmtId="0" fontId="1" fillId="50" borderId="15" xfId="0" applyBorder="1" applyFont="1" applyFill="1"/>
    <xf numFmtId="0" fontId="7" fillId="50" borderId="16" xfId="0" applyBorder="1" applyFont="1" applyFill="1"/>
    <xf numFmtId="0" fontId="7" fillId="51" borderId="1" xfId="0" applyBorder="1" applyFont="1" applyFill="1"/>
    <xf numFmtId="0" fontId="7" fillId="0" borderId="0" xfId="0" applyFont="1"/>
    <xf numFmtId="0" fontId="7" fillId="50" borderId="17" xfId="0" applyBorder="1" applyFont="1" applyFill="1"/>
    <xf numFmtId="0" fontId="7" fillId="51" borderId="0" xfId="0" applyFont="1" applyFill="1"/>
    <xf numFmtId="0" fontId="7" fillId="52" borderId="15" xfId="0" applyBorder="1" applyFont="1" applyFill="1"/>
    <xf numFmtId="0" fontId="7" fillId="52" borderId="17" xfId="0" applyBorder="1" applyFont="1" applyFill="1"/>
    <xf numFmtId="0" fontId="7" fillId="53" borderId="0" xfId="0" applyFont="1" applyFill="1"/>
    <xf numFmtId="0" fontId="7" fillId="0" borderId="15" xfId="0" applyBorder="1" applyFont="1"/>
    <xf numFmtId="0" fontId="7" fillId="0" borderId="17" xfId="0" applyBorder="1" applyFont="1"/>
    <xf numFmtId="0" fontId="7" fillId="0" borderId="18" xfId="0" applyBorder="1" applyFont="1"/>
    <xf numFmtId="0" fontId="7" fillId="0" borderId="19" xfId="0" applyBorder="1" applyFont="1"/>
    <xf numFmtId="0" fontId="8" fillId="0" borderId="0" xfId="0" applyAlignment="1" applyFont="1">
      <alignment vertical="center"/>
    </xf>
    <xf numFmtId="0" fontId="7" fillId="0" borderId="0" xfId="0" applyAlignment="1" applyFont="1">
      <alignment horizontal="left" vertical="center" wrapText="1" indent="1"/>
    </xf>
    <xf numFmtId="0" fontId="8" fillId="0" borderId="3" xfId="28" applyBorder="1" applyFont="1" applyFill="1"/>
    <xf numFmtId="0" fontId="1" fillId="50" borderId="1" xfId="0" applyAlignment="1" applyBorder="1" applyFont="1" applyFill="1">
      <alignment horizontal="left"/>
    </xf>
    <xf numFmtId="0" fontId="7" fillId="52" borderId="0" xfId="0" applyAlignment="1" applyFont="1" applyFill="1">
      <alignment horizontal="left"/>
    </xf>
    <xf numFmtId="0" fontId="7" fillId="0" borderId="0" xfId="0" applyAlignment="1" applyFont="1">
      <alignment horizontal="left"/>
    </xf>
    <xf numFmtId="0" fontId="8" fillId="0" borderId="3" xfId="28" applyAlignment="1" applyBorder="1" applyFont="1" applyFill="1">
      <alignment horizontal="right"/>
    </xf>
    <xf numFmtId="0" fontId="7" fillId="51" borderId="1" xfId="0" applyAlignment="1" applyBorder="1" applyFont="1" applyFill="1">
      <alignment horizontal="center"/>
    </xf>
    <xf numFmtId="0" fontId="7" fillId="51" borderId="0" xfId="0" applyAlignment="1" applyFont="1" applyFill="1">
      <alignment horizontal="center"/>
    </xf>
    <xf numFmtId="0" fontId="7" fillId="53" borderId="0" xfId="0" applyAlignment="1" applyFont="1" applyFill="1">
      <alignment horizontal="center"/>
    </xf>
    <xf numFmtId="0" fontId="7" fillId="0" borderId="0" xfId="0" applyAlignment="1" applyFont="1">
      <alignment horizontal="center"/>
    </xf>
    <xf numFmtId="173" fontId="7" fillId="0" borderId="3" xfId="0" applyAlignment="1" applyBorder="1" applyFont="1" applyNumberFormat="1">
      <alignment horizontal="left"/>
    </xf>
    <xf numFmtId="174" fontId="7" fillId="0" borderId="3" xfId="56" applyAlignment="1" applyBorder="1" applyFont="1" applyNumberFormat="1" applyFill="1">
      <alignment vertical="center"/>
    </xf>
    <xf numFmtId="174" fontId="8" fillId="4" borderId="3" xfId="56" applyAlignment="1" applyBorder="1" applyFont="1" applyNumberFormat="1" applyFill="1">
      <alignment vertical="center"/>
    </xf>
    <xf numFmtId="0" fontId="10" fillId="50" borderId="0" xfId="0" applyFont="1" applyFill="1"/>
    <xf numFmtId="0" fontId="10" fillId="52" borderId="0" xfId="0" applyAlignment="1" applyFont="1" applyFill="1">
      <alignment horizontal="left"/>
    </xf>
    <xf numFmtId="0" fontId="8" fillId="0" borderId="20" xfId="0" applyAlignment="1" applyBorder="1" applyFont="1">
      <alignment horizontal="left"/>
    </xf>
    <xf numFmtId="0" fontId="10" fillId="50" borderId="1" xfId="0" applyAlignment="1" applyBorder="1" applyFont="1" applyFill="1">
      <alignment horizontal="left"/>
    </xf>
  </cellXfs>
  <cellStyles count="99"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Bad 2" xfId="47"/>
    <cellStyle name="CALC Amount" xfId="1"/>
    <cellStyle name="CALC Amount Total" xfId="2"/>
    <cellStyle name="CALC Currency" xfId="3"/>
    <cellStyle name="CALC Currency Total" xfId="4"/>
    <cellStyle name="CALC Date Long" xfId="5"/>
    <cellStyle name="CALC Date Short" xfId="6"/>
    <cellStyle name="CALC Percent" xfId="7"/>
    <cellStyle name="CALC Percent Total" xfId="8"/>
    <cellStyle name="CALLUP Amount" xfId="9"/>
    <cellStyle name="CALLUP Amount LINK" xfId="27"/>
    <cellStyle name="CALLUP Date" xfId="26"/>
    <cellStyle name="CALLUP Percent" xfId="10"/>
    <cellStyle name="CALLUP Text" xfId="11"/>
    <cellStyle name="Check" xfId="12"/>
    <cellStyle name="DATA Amount" xfId="13"/>
    <cellStyle name="DATA Currency" xfId="14"/>
    <cellStyle name="DATA Date Long" xfId="15"/>
    <cellStyle name="DATA Date Short" xfId="16"/>
    <cellStyle name="DATA Percent" xfId="17"/>
    <cellStyle name="DATA Text" xfId="18"/>
    <cellStyle name="DATA Version" xfId="19"/>
    <cellStyle name="DescriptionText" xfId="20"/>
    <cellStyle name="Emphasis 1" xfId="48"/>
    <cellStyle name="Emphasis 2" xfId="49"/>
    <cellStyle name="Emphasis 3" xfId="50"/>
    <cellStyle name="Good 2" xfId="51"/>
    <cellStyle name="Heading 1 2" xfId="52"/>
    <cellStyle name="Heading 2 2" xfId="53"/>
    <cellStyle name="Heading 3 2" xfId="54"/>
    <cellStyle name="LABEL Normal" xfId="21"/>
    <cellStyle name="LABEL Note" xfId="22"/>
    <cellStyle name="LABEL Units" xfId="23"/>
    <cellStyle name="N/A Style" xfId="24"/>
    <cellStyle name="Neutral 2" xfId="55"/>
    <cellStyle name="Normal" xfId="0" builtinId="0"/>
    <cellStyle name="Normal 2" xfId="28"/>
    <cellStyle name="Normal 3" xfId="98"/>
    <cellStyle name="SAPBEXaggData" xfId="56"/>
    <cellStyle name="SAPBEXaggDataEmph" xfId="57"/>
    <cellStyle name="SAPBEXaggItem" xfId="58"/>
    <cellStyle name="SAPBEXaggItemX" xfId="59"/>
    <cellStyle name="SAPBEXchaText" xfId="60"/>
    <cellStyle name="SAPBEXexcBad7" xfId="61"/>
    <cellStyle name="SAPBEXexcBad8" xfId="62"/>
    <cellStyle name="SAPBEXexcBad9" xfId="63"/>
    <cellStyle name="SAPBEXexcCritical4" xfId="64"/>
    <cellStyle name="SAPBEXexcCritical5" xfId="65"/>
    <cellStyle name="SAPBEXexcCritical6" xfId="66"/>
    <cellStyle name="SAPBEXexcGood1" xfId="67"/>
    <cellStyle name="SAPBEXexcGood2" xfId="68"/>
    <cellStyle name="SAPBEXexcGood3" xfId="69"/>
    <cellStyle name="SAPBEXfilterDrill" xfId="70"/>
    <cellStyle name="SAPBEXfilterItem" xfId="71"/>
    <cellStyle name="SAPBEXfilterText" xfId="72"/>
    <cellStyle name="SAPBEXformats" xfId="73"/>
    <cellStyle name="SAPBEXheaderItem" xfId="74"/>
    <cellStyle name="SAPBEXheaderText" xfId="75"/>
    <cellStyle name="SAPBEXHLevel0" xfId="76"/>
    <cellStyle name="SAPBEXHLevel0X" xfId="77"/>
    <cellStyle name="SAPBEXHLevel1" xfId="78"/>
    <cellStyle name="SAPBEXHLevel1X" xfId="79"/>
    <cellStyle name="SAPBEXHLevel2" xfId="80"/>
    <cellStyle name="SAPBEXHLevel2X" xfId="81"/>
    <cellStyle name="SAPBEXHLevel3" xfId="82"/>
    <cellStyle name="SAPBEXHLevel3X" xfId="83"/>
    <cellStyle name="SAPBEXinputData" xfId="84"/>
    <cellStyle name="SAPBEXItemHeader" xfId="85"/>
    <cellStyle name="SAPBEXresData" xfId="86"/>
    <cellStyle name="SAPBEXresDataEmph" xfId="87"/>
    <cellStyle name="SAPBEXresItem" xfId="88"/>
    <cellStyle name="SAPBEXresItemX" xfId="89"/>
    <cellStyle name="SAPBEXstdData" xfId="90"/>
    <cellStyle name="SAPBEXstdDataEmph" xfId="91"/>
    <cellStyle name="SAPBEXstdItem" xfId="92"/>
    <cellStyle name="SAPBEXstdItemX" xfId="93"/>
    <cellStyle name="SAPBEXtitle" xfId="94"/>
    <cellStyle name="SAPBEXunassignedItem" xfId="95"/>
    <cellStyle name="SAPBEXundefined" xfId="96"/>
    <cellStyle name="Sheet Title" xfId="97"/>
    <cellStyle name="SheetEnd" xfId="2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BK152"/>
  <sheetViews>
    <sheetView topLeftCell="A1" showGridLines="0" view="normal" tabSelected="1" workbookViewId="0">
      <pane xSplit="4" ySplit="8" topLeftCell="E9" activePane="topRight" state="frozen"/>
      <selection pane="topRight" activeCell="A1" sqref="A1"/>
    </sheetView>
  </sheetViews>
  <sheetFormatPr defaultColWidth="0" zeroHeight="true" defaultRowHeight="12.6"/>
  <cols>
    <col min="1" max="1" width="6.875" style="6" customWidth="1"/>
    <col min="2" max="2" width="41.875" style="21" bestFit="1" customWidth="1"/>
    <col min="3" max="3" width="32.875" style="6" bestFit="1" customWidth="1"/>
    <col min="4" max="7" width="13.25390625" style="6" bestFit="1" customWidth="1"/>
    <col min="8" max="8" width="10.875" style="26" customWidth="1"/>
    <col min="9" max="28" width="9.875" style="6" customWidth="1"/>
    <col min="29" max="29" width="9.125" style="6" bestFit="1" customWidth="1"/>
    <col min="30" max="30" width="7.375" style="6" bestFit="1" customWidth="1"/>
    <col min="31" max="47" width="3.875" style="6" customWidth="1"/>
    <col min="48" max="55" width="1.875" style="6" customWidth="1"/>
    <col min="56" max="62" width="8.875" style="6" customWidth="1"/>
    <col min="63" max="16384" width="9.125" style="6" hidden="1" customWidth="1"/>
  </cols>
  <sheetData>
    <row r="1" spans="1:55" ht="12.95">
      <c r="A1" s="2"/>
      <c r="B1" s="33"/>
      <c r="C1" s="19"/>
      <c r="D1" s="4"/>
      <c r="E1" s="5"/>
      <c r="F1" s="5"/>
      <c r="G1" s="5"/>
      <c r="H1" s="2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ht="12.95">
      <c r="A2" s="3"/>
      <c r="B2" s="30" t="s">
        <v>0</v>
      </c>
      <c r="C2" s="30"/>
      <c r="D2" s="7"/>
      <c r="E2" s="8"/>
      <c r="F2" s="8"/>
      <c r="G2" s="8"/>
      <c r="H2" s="2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>
      <c r="A3" s="9"/>
      <c r="B3" s="20"/>
      <c r="C3" s="20"/>
      <c r="D3" s="10"/>
      <c r="E3" s="11"/>
      <c r="F3" s="11"/>
      <c r="G3" s="11"/>
      <c r="H3" s="2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</row>
    <row r="4" spans="1:55" ht="12.95">
      <c r="A4" s="9"/>
      <c r="B4" s="31" t="s">
        <v>1</v>
      </c>
      <c r="C4" s="31"/>
      <c r="D4" s="10"/>
      <c r="E4" s="11"/>
      <c r="F4" s="11"/>
      <c r="G4" s="11"/>
      <c r="H4" s="2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</row>
    <row r="5" spans="1:4">
      <c r="A5" s="12"/>
      <c r="C5" s="21"/>
      <c r="D5" s="13"/>
    </row>
    <row r="6" spans="1:4" ht="12.95">
      <c r="A6" s="14"/>
      <c r="B6" s="32" t="s">
        <v>2</v>
      </c>
      <c r="C6" s="32" t="s">
        <v>3</v>
      </c>
      <c r="D6" s="15"/>
    </row>
    <row r="7" spans="3:3">
      <c r="C7" s="6" t="s">
        <v>4</v>
      </c>
    </row>
    <row r="8" spans="2:39" ht="12.95">
      <c r="B8" s="18" t="s">
        <v>5</v>
      </c>
      <c r="C8" s="22" t="s">
        <v>6</v>
      </c>
      <c r="D8" s="22" t="s">
        <v>7</v>
      </c>
      <c r="E8" s="22" t="s">
        <v>8</v>
      </c>
      <c r="F8" s="22" t="s">
        <v>9</v>
      </c>
      <c r="G8" s="22" t="s">
        <v>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K8" s="16"/>
      <c r="AM8" s="16"/>
    </row>
    <row r="9" spans="2:42" ht="12.95">
      <c r="B9" s="27">
        <v>44562</v>
      </c>
      <c r="C9" s="28">
        <v>17681.599999999991</v>
      </c>
      <c r="D9" s="28">
        <v>3342.4400000000005</v>
      </c>
      <c r="E9" s="28">
        <v>32284.350000000002</v>
      </c>
      <c r="F9" s="28">
        <v>20643.66</v>
      </c>
      <c r="G9" s="29">
        <f>SUM(C9:F9)</f>
        <v>73952.05</v>
      </c>
      <c r="AP9" s="17"/>
    </row>
    <row r="10" spans="2:42" ht="12.95">
      <c r="B10" s="27">
        <v>44593</v>
      </c>
      <c r="C10" s="28">
        <v>61972.079999999914</v>
      </c>
      <c r="D10" s="28">
        <v>5751.7199999999984</v>
      </c>
      <c r="E10" s="28">
        <v>60071.700000000012</v>
      </c>
      <c r="F10" s="28">
        <v>13895.809999999976</v>
      </c>
      <c r="G10" s="29">
        <f>SUM(C10:F10)</f>
        <v>141691.30999999991</v>
      </c>
      <c r="AP10" s="17"/>
    </row>
    <row r="11" spans="2:42" ht="12.95">
      <c r="B11" s="27">
        <v>44621</v>
      </c>
      <c r="C11" s="28">
        <f>34026.55+2886.38</f>
        <v>36912.93</v>
      </c>
      <c r="D11" s="28">
        <v>13190.81</v>
      </c>
      <c r="E11" s="28">
        <f>33434.32+47188.99</f>
        <v>80623.31</v>
      </c>
      <c r="F11" s="28">
        <v>15117.38</v>
      </c>
      <c r="G11" s="29">
        <f>SUM(C11:F11)</f>
        <v>145844.43</v>
      </c>
      <c r="AP11" s="17"/>
    </row>
    <row r="12" spans="2:7" ht="12.95">
      <c r="B12" s="27">
        <v>44652</v>
      </c>
      <c r="C12" s="28">
        <f>33099.59+896.39</f>
        <v>33995.979999999996</v>
      </c>
      <c r="D12" s="28">
        <f>4624.61</f>
        <v>4624.61</v>
      </c>
      <c r="E12" s="28">
        <f>32267.99+26180.97</f>
        <v>58448.960000000006</v>
      </c>
      <c r="F12" s="28">
        <v>4431.42</v>
      </c>
      <c r="G12" s="29">
        <f>SUM(C12:F12)</f>
        <v>101500.97</v>
      </c>
    </row>
    <row r="13" spans="2:7" ht="12.95">
      <c r="B13" s="27">
        <v>44682</v>
      </c>
      <c r="C13" s="28">
        <f>59184.77+2030.5</f>
        <v>61215.27</v>
      </c>
      <c r="D13" s="28">
        <v>7874.28</v>
      </c>
      <c r="E13" s="28">
        <f>81583.25+31710.43</f>
        <v>113293.68</v>
      </c>
      <c r="F13" s="28">
        <v>4471.45</v>
      </c>
      <c r="G13" s="29">
        <f>SUM(C13:F13)</f>
        <v>186854.68</v>
      </c>
    </row>
    <row r="14" spans="2:7" ht="12.95">
      <c r="B14" s="27">
        <v>44714</v>
      </c>
      <c r="C14" s="28">
        <v>61962.439999999937</v>
      </c>
      <c r="D14" s="28">
        <v>12738.090000000009</v>
      </c>
      <c r="E14" s="28">
        <v>113037.32000000007</v>
      </c>
      <c r="F14" s="28">
        <v>6588.6099999999988</v>
      </c>
      <c r="G14" s="29">
        <f>SUM(C14:F14)</f>
        <v>194326.46</v>
      </c>
    </row>
    <row r="15" spans="2:7" ht="12.95">
      <c r="B15" s="27">
        <v>44745</v>
      </c>
      <c r="C15" s="28">
        <v>38116.579999999907</v>
      </c>
      <c r="D15" s="28">
        <v>6886.2699999999932</v>
      </c>
      <c r="E15" s="28">
        <v>96724.269999999946</v>
      </c>
      <c r="F15" s="28">
        <v>5400.9999999999964</v>
      </c>
      <c r="G15" s="29">
        <f>SUM(C15:F15)</f>
        <v>147128.11999999985</v>
      </c>
    </row>
    <row r="16" spans="2:42" ht="12.95">
      <c r="B16" s="27">
        <v>44777</v>
      </c>
      <c r="C16" s="28">
        <v>49358.709999999948</v>
      </c>
      <c r="D16" s="28">
        <v>9931.4500000000062</v>
      </c>
      <c r="E16" s="28">
        <v>81500.37</v>
      </c>
      <c r="F16" s="28">
        <v>5974.1399999999967</v>
      </c>
      <c r="G16" s="29">
        <f>SUM(C16:F16)</f>
        <v>146764.66999999993</v>
      </c>
      <c r="AP16" s="17"/>
    </row>
    <row r="17" spans="2:7" ht="12.95">
      <c r="B17" s="27">
        <v>44805</v>
      </c>
      <c r="C17" s="28">
        <f>72542.63+3888</f>
        <v>76430.63</v>
      </c>
      <c r="D17" s="28">
        <f>6701.59</f>
        <v>6701.59</v>
      </c>
      <c r="E17" s="28">
        <f>94794.03+35680.66</f>
        <v>130474.69</v>
      </c>
      <c r="F17" s="28">
        <v>4340.2</v>
      </c>
      <c r="G17" s="29">
        <f>SUM(C17:F17)</f>
        <v>217947.11000000002</v>
      </c>
    </row>
    <row r="18" spans="2:7" ht="12.95">
      <c r="B18" s="27">
        <v>44835</v>
      </c>
      <c r="C18" s="28">
        <f>272.73+54098.91</f>
        <v>54371.640000000007</v>
      </c>
      <c r="D18" s="28">
        <v>12790.9</v>
      </c>
      <c r="E18" s="28">
        <f>42552.09+68708.33</f>
        <v>111260.42</v>
      </c>
      <c r="F18" s="28">
        <v>3966.65</v>
      </c>
      <c r="G18" s="29">
        <f>SUM(C18:F18)</f>
        <v>182389.61000000002</v>
      </c>
    </row>
    <row r="19" spans="2:7" ht="12.95">
      <c r="B19" s="27">
        <v>44866</v>
      </c>
      <c r="C19" s="28">
        <f>5547.08+70198.32</f>
        <v>75745.400000000009</v>
      </c>
      <c r="D19" s="28">
        <v>11630.51</v>
      </c>
      <c r="E19" s="28">
        <f>49364.79+63804.41</f>
        <v>113169.20000000001</v>
      </c>
      <c r="F19" s="28">
        <v>9476.59</v>
      </c>
      <c r="G19" s="29">
        <f>SUM(C19:F19)</f>
        <v>210021.7</v>
      </c>
    </row>
    <row r="20" spans="2:7" ht="12" customHeight="1">
      <c r="B20" s="27">
        <v>44897</v>
      </c>
      <c r="C20" s="28">
        <f>5699.62+55588.11</f>
        <v>61287.73</v>
      </c>
      <c r="D20" s="28">
        <v>9845.26</v>
      </c>
      <c r="E20" s="28">
        <f>39833.9+27690.23</f>
        <v>67524.13</v>
      </c>
      <c r="F20" s="28">
        <v>12815.71</v>
      </c>
      <c r="G20" s="29">
        <f>SUM(C20:F20)</f>
        <v>151472.83</v>
      </c>
    </row>
    <row r="21" spans="2:7" ht="12.95">
      <c r="B21" s="27">
        <v>44927</v>
      </c>
      <c r="C21" s="28">
        <f>712.76+55757.55</f>
        <v>56470.310000000005</v>
      </c>
      <c r="D21" s="28">
        <v>12372.21</v>
      </c>
      <c r="E21" s="28">
        <f>27164.14+57506.54</f>
        <v>84670.68</v>
      </c>
      <c r="F21" s="28">
        <v>24246.94</v>
      </c>
      <c r="G21" s="29">
        <f>SUM(C21:F21)</f>
        <v>177760.14</v>
      </c>
    </row>
    <row r="22" spans="2:7" ht="12.95">
      <c r="B22" s="27">
        <v>44958</v>
      </c>
      <c r="C22" s="28">
        <f>1190.23+30796.44</f>
        <v>31986.67</v>
      </c>
      <c r="D22" s="28">
        <v>15117.96</v>
      </c>
      <c r="E22" s="28">
        <f>30820.17+37763.71</f>
        <v>68583.88</v>
      </c>
      <c r="F22" s="28">
        <f>15967.64+2347.4</f>
        <v>18315.04</v>
      </c>
      <c r="G22" s="29">
        <f>SUM(C22:F22)</f>
        <v>134003.55000000002</v>
      </c>
    </row>
    <row r="23" spans="2:7" ht="12.95">
      <c r="B23" s="27">
        <v>44986</v>
      </c>
      <c r="C23" s="28">
        <f>1232.63+17190.92+9110.44</f>
        <v>27533.989999999998</v>
      </c>
      <c r="D23" s="28">
        <f>15766.68</f>
        <v>15766.68</v>
      </c>
      <c r="E23" s="28">
        <f>51111.39+6710.36+32025.39+913.39</f>
        <v>90760.53</v>
      </c>
      <c r="F23" s="28">
        <f>13172.95</f>
        <v>13172.95</v>
      </c>
      <c r="G23" s="29">
        <f>SUM(C23:F23)</f>
        <v>147234.15000000002</v>
      </c>
    </row>
    <row r="24" spans="2:7" ht="12.95">
      <c r="B24" s="27">
        <v>45017</v>
      </c>
      <c r="C24" s="28">
        <f>2066.85+2833.13+25491.38</f>
        <v>30391.36</v>
      </c>
      <c r="D24" s="28">
        <f>12514.12</f>
        <v>12514.12</v>
      </c>
      <c r="E24" s="28">
        <f>19082.16+3322.44+32571.87+280.4</f>
        <v>55256.87</v>
      </c>
      <c r="F24" s="28">
        <f>4511.47</f>
        <v>4511.47</v>
      </c>
      <c r="G24" s="29">
        <f>SUM(C24:F24)</f>
        <v>102673.82</v>
      </c>
    </row>
    <row r="25" spans="2:7" ht="12.95">
      <c r="B25" s="27">
        <v>45047</v>
      </c>
      <c r="C25" s="28">
        <f>4268.48+3271.87</f>
        <v>7540.3499999999995</v>
      </c>
      <c r="D25" s="28">
        <f>15816.41</f>
        <v>15816.41</v>
      </c>
      <c r="E25" s="28">
        <f>39299.3</f>
        <v>39299.3</v>
      </c>
      <c r="F25" s="28">
        <f>5839.31</f>
        <v>5839.31</v>
      </c>
      <c r="G25" s="29">
        <f>SUM(C25:F25)</f>
        <v>68495.37</v>
      </c>
    </row>
    <row r="26" spans="2:7" ht="12.95">
      <c r="B26" s="27">
        <v>45078</v>
      </c>
      <c r="C26" s="28">
        <f>6882.72+46402.84+5330.39+45788.17</f>
        <v>104404.12</v>
      </c>
      <c r="D26" s="28">
        <f>16410</f>
        <v>16410</v>
      </c>
      <c r="E26" s="28">
        <f>40960.24-72.22+64338.19+6251.28+84.4+57891.71</f>
        <v>169453.59999999998</v>
      </c>
      <c r="F26" s="28">
        <f>7682.74</f>
        <v>7682.74</v>
      </c>
      <c r="G26" s="29">
        <f>SUM(C26:F26)</f>
        <v>297950.45999999996</v>
      </c>
    </row>
    <row r="27" spans="2:7" ht="12.95">
      <c r="B27" s="27">
        <v>45108</v>
      </c>
      <c r="C27" s="28">
        <f>3257.26</f>
        <v>3257.26</v>
      </c>
      <c r="D27" s="28">
        <f>14662.2</f>
        <v>14662.2</v>
      </c>
      <c r="E27" s="28">
        <f>36273.09</f>
        <v>36273.09</v>
      </c>
      <c r="F27" s="28">
        <f>5893.45</f>
        <v>5893.45</v>
      </c>
      <c r="G27" s="29">
        <f>SUM(C27:F27)</f>
        <v>60085.999999999993</v>
      </c>
    </row>
    <row r="28" spans="2:7" ht="12.95">
      <c r="B28" s="27">
        <v>45139</v>
      </c>
      <c r="C28" s="28">
        <f>3483</f>
        <v>3483</v>
      </c>
      <c r="D28" s="28">
        <f>10564.88</f>
        <v>10564.88</v>
      </c>
      <c r="E28" s="28">
        <f>32598.42</f>
        <v>32598.42</v>
      </c>
      <c r="F28" s="28">
        <f>7143.59</f>
        <v>7143.59</v>
      </c>
      <c r="G28" s="29">
        <f>SUM(C28:F28)</f>
        <v>53789.89</v>
      </c>
    </row>
    <row r="29" spans="2:7" ht="12.95">
      <c r="B29" s="27">
        <v>45170</v>
      </c>
      <c r="C29" s="28">
        <f>2768</f>
        <v>2768</v>
      </c>
      <c r="D29" s="28">
        <f>17036.33</f>
        <v>17036.33</v>
      </c>
      <c r="E29" s="28">
        <f>32911.55</f>
        <v>32911.55</v>
      </c>
      <c r="F29" s="28">
        <f>6663.8</f>
        <v>6663.8</v>
      </c>
      <c r="G29" s="29">
        <f>SUM(C29:F29)</f>
        <v>59379.680000000008</v>
      </c>
    </row>
    <row r="30" spans="2:7" ht="12.95">
      <c r="B30" s="27">
        <v>45200</v>
      </c>
      <c r="C30" s="28">
        <f>1865.37+45326.03+18496.58+1910.9+913.21+41305.96</f>
        <v>109818.05000000002</v>
      </c>
      <c r="D30" s="28">
        <f>8505.81</f>
        <v>8505.81</v>
      </c>
      <c r="E30" s="28">
        <f>30191.28+23901.52+33007.22+5656.68+7430.05+40999.05</f>
        <v>141185.80000000002</v>
      </c>
      <c r="F30" s="28">
        <f>3933.09</f>
        <v>3933.09</v>
      </c>
      <c r="G30" s="29">
        <f>SUM(C30:F30)</f>
        <v>263442.75000000006</v>
      </c>
    </row>
    <row r="31" spans="2:7" ht="12.95">
      <c r="B31" s="27">
        <v>45231</v>
      </c>
      <c r="C31" s="28">
        <f>2059.37</f>
        <v>2059.37</v>
      </c>
      <c r="D31" s="28">
        <f>16324.12</f>
        <v>16324.12</v>
      </c>
      <c r="E31" s="28">
        <f>42647.69</f>
        <v>42647.69</v>
      </c>
      <c r="F31" s="28">
        <f>9012.47</f>
        <v>9012.47</v>
      </c>
      <c r="G31" s="29">
        <f>SUM(C31:F31)</f>
        <v>70043.650000000009</v>
      </c>
    </row>
    <row r="32" spans="2:7" ht="12.95">
      <c r="B32" s="27">
        <v>45262</v>
      </c>
      <c r="C32" s="28">
        <f>33198.06+625.95</f>
        <v>33824.009999999995</v>
      </c>
      <c r="D32" s="28">
        <v>14009.29</v>
      </c>
      <c r="E32" s="28">
        <f>41967.02+42115.02</f>
        <v>84082.04</v>
      </c>
      <c r="F32" s="28">
        <v>16406.75</v>
      </c>
      <c r="G32" s="29">
        <f>SUM(C32:F32)</f>
        <v>148322.09</v>
      </c>
    </row>
    <row r="33" spans="2:7" ht="12.95">
      <c r="B33" s="27">
        <v>45294</v>
      </c>
      <c r="C33" s="28">
        <f>108951.45+664.06</f>
        <v>109615.51</v>
      </c>
      <c r="D33" s="28">
        <v>7862.86</v>
      </c>
      <c r="E33" s="28">
        <f>63671.8+26716.67</f>
        <v>90388.47</v>
      </c>
      <c r="F33" s="28">
        <v>23532.69</v>
      </c>
      <c r="G33" s="29">
        <f>SUM(C33:F33)</f>
        <v>231399.53</v>
      </c>
    </row>
    <row r="34" spans="2:7" ht="12.95">
      <c r="B34" s="27">
        <v>45326</v>
      </c>
      <c r="C34" s="28">
        <f>34965.38+1668.35</f>
        <v>36633.729999999996</v>
      </c>
      <c r="D34" s="28">
        <v>7298.57</v>
      </c>
      <c r="E34" s="28">
        <f>20662.98+32443.95</f>
        <v>53106.93</v>
      </c>
      <c r="F34" s="28">
        <v>16079.89</v>
      </c>
      <c r="G34" s="29">
        <f>SUM(C34:F34)</f>
        <v>113119.12</v>
      </c>
    </row>
    <row r="35" spans="2:7" ht="12.95">
      <c r="B35" s="27">
        <v>45356</v>
      </c>
      <c r="C35" s="28">
        <f>47800.23+182.75</f>
        <v>47982.98</v>
      </c>
      <c r="D35" s="28">
        <v>15384.69</v>
      </c>
      <c r="E35" s="28">
        <f>32943.97+43446.23</f>
        <v>76390.200000000012</v>
      </c>
      <c r="F35" s="28">
        <v>10911.39</v>
      </c>
      <c r="G35" s="29">
        <f>SUM(C35:F35)</f>
        <v>150669.26</v>
      </c>
    </row>
    <row r="36" spans="2:7" ht="12.95">
      <c r="B36" s="27">
        <v>45388</v>
      </c>
      <c r="C36" s="28">
        <f>57431.82+689</f>
        <v>58120.82</v>
      </c>
      <c r="D36" s="28">
        <v>9293.96</v>
      </c>
      <c r="E36" s="28">
        <f>40929.95+27218.37</f>
        <v>68148.319999999992</v>
      </c>
      <c r="F36" s="28">
        <v>6415.81</v>
      </c>
      <c r="G36" s="29">
        <f>SUM(C36:F36)</f>
        <v>141978.90999999997</v>
      </c>
    </row>
    <row r="37" spans="2:7" ht="12.95">
      <c r="B37" s="27">
        <v>45419</v>
      </c>
      <c r="C37" s="28">
        <f>108156.76+1205</f>
        <v>109361.76</v>
      </c>
      <c r="D37" s="28">
        <v>10068.65</v>
      </c>
      <c r="E37" s="28">
        <f>28021.2+36682.02</f>
        <v>64703.22</v>
      </c>
      <c r="F37" s="28">
        <v>11319.36</v>
      </c>
      <c r="G37" s="29">
        <f>SUM(C37:F37)</f>
        <v>195452.99</v>
      </c>
    </row>
    <row r="38" spans="2:7" ht="12.95">
      <c r="B38" s="27">
        <v>45451</v>
      </c>
      <c r="C38" s="28">
        <f>535+57211.64</f>
        <v>57746.64</v>
      </c>
      <c r="D38" s="28">
        <f>6517.13</f>
        <v>6517.13</v>
      </c>
      <c r="E38" s="28">
        <f>30406.49+32091.5</f>
        <v>62497.990000000005</v>
      </c>
      <c r="F38" s="28">
        <f>6111.56</f>
        <v>6111.56</v>
      </c>
      <c r="G38" s="29">
        <f>SUM(C38:F38)</f>
        <v>132873.32</v>
      </c>
    </row>
    <row r="39" spans="2:7" ht="12.95">
      <c r="B39" s="27">
        <v>45482</v>
      </c>
      <c r="C39" s="28">
        <f>1686.76+37996.57</f>
        <v>39683.33</v>
      </c>
      <c r="D39" s="28">
        <f>11637.36</f>
        <v>11637.36</v>
      </c>
      <c r="E39" s="28">
        <f>32546.79+38517.88</f>
        <v>71064.67</v>
      </c>
      <c r="F39" s="28">
        <f>7229.82</f>
        <v>7229.82</v>
      </c>
      <c r="G39" s="29">
        <f>SUM(C39:F39)</f>
        <v>129615.18</v>
      </c>
    </row>
    <row r="40" spans="2:7" ht="12.95">
      <c r="B40" s="27">
        <v>45514</v>
      </c>
      <c r="C40" s="28">
        <f>190</f>
        <v>190</v>
      </c>
      <c r="D40" s="28">
        <f>10584.12</f>
        <v>10584.12</v>
      </c>
      <c r="E40" s="28">
        <f>38401.36</f>
        <v>38401.36</v>
      </c>
      <c r="F40" s="28">
        <f>14826.15</f>
        <v>14826.15</v>
      </c>
      <c r="G40" s="29">
        <f>SUM(C40:F40)</f>
        <v>64001.630000000005</v>
      </c>
    </row>
    <row r="41" spans="2:7" ht="12.95">
      <c r="B41" s="27">
        <v>45546</v>
      </c>
      <c r="C41" s="28">
        <f>61298.73+2479.9</f>
        <v>63778.630000000005</v>
      </c>
      <c r="D41" s="28">
        <v>6612.25</v>
      </c>
      <c r="E41" s="28">
        <f>47733.78+26510.3</f>
        <v>74244.08</v>
      </c>
      <c r="F41" s="28">
        <v>6653.16</v>
      </c>
      <c r="G41" s="29">
        <f>SUM(C41:F41)</f>
        <v>151288.12000000002</v>
      </c>
    </row>
    <row r="42" spans="2:7" ht="12.95">
      <c r="B42" s="27">
        <v>45577</v>
      </c>
      <c r="C42" s="28">
        <f>31753.14+2594</f>
        <v>34347.14</v>
      </c>
      <c r="D42" s="28">
        <v>11222.95</v>
      </c>
      <c r="E42" s="28">
        <f>27301.12+32504.9</f>
        <v>59806.020000000004</v>
      </c>
      <c r="F42" s="28">
        <v>6747.14</v>
      </c>
      <c r="G42" s="29">
        <f>SUM(C42:F42)</f>
        <v>112123.25</v>
      </c>
    </row>
    <row r="43" spans="2:7" ht="12" customHeight="1">
      <c r="B43" s="27">
        <v>45609</v>
      </c>
      <c r="C43" s="28">
        <f>64051.85+249.35</f>
        <v>64301.2</v>
      </c>
      <c r="D43" s="28">
        <v>10567.86</v>
      </c>
      <c r="E43" s="28">
        <f>54577.19+35459.7</f>
        <v>90036.89</v>
      </c>
      <c r="F43" s="28">
        <v>7248.54</v>
      </c>
      <c r="G43" s="29">
        <f>SUM(C43:F43)</f>
        <v>172154.49000000002</v>
      </c>
    </row>
    <row r="44" spans="2:7" ht="12.95">
      <c r="B44" s="27">
        <v>45627</v>
      </c>
      <c r="C44" s="28">
        <v>2069.54</v>
      </c>
      <c r="D44" s="28">
        <v>9034.11</v>
      </c>
      <c r="E44" s="28">
        <v>29644.98</v>
      </c>
      <c r="F44" s="28">
        <v>13865.36</v>
      </c>
      <c r="G44" s="29">
        <f>SUM(C44:F44)</f>
        <v>54613.990000000005</v>
      </c>
    </row>
    <row r="45" spans="2:7" ht="12.95">
      <c r="B45" s="27">
        <v>45658</v>
      </c>
      <c r="C45" s="28">
        <f>30048.06+46.71</f>
        <v>30094.77</v>
      </c>
      <c r="D45" s="28">
        <v>5585.33</v>
      </c>
      <c r="E45" s="28">
        <f>31808.4+27107.41</f>
        <v>58915.81</v>
      </c>
      <c r="F45" s="28">
        <v>23623.63</v>
      </c>
      <c r="G45" s="29">
        <f>SUM(C45:F45)</f>
        <v>118219.54000000001</v>
      </c>
    </row>
    <row r="46" spans="2:7" ht="12.95">
      <c r="B46" s="27">
        <v>45689</v>
      </c>
      <c r="C46" s="28">
        <f>36373.79</f>
        <v>36373.79</v>
      </c>
      <c r="D46" s="28">
        <v>6413.93</v>
      </c>
      <c r="E46" s="28">
        <f>49884.2+29729.09</f>
        <v>79613.29</v>
      </c>
      <c r="F46" s="28">
        <v>13971.95</v>
      </c>
      <c r="G46" s="29">
        <f>SUM(C46:F46)</f>
        <v>136372.96</v>
      </c>
    </row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</sheetData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ignoredErrors>
    <ignoredError sqref="G8:G10 G14:G16 G44" formulaRange="1"/>
  </ignoredErrors>
  <extLst/>
</worksheet>
</file>

<file path=docProps/app.xml><?xml version="1.0" encoding="utf-8"?>
<Properties xmlns="http://schemas.openxmlformats.org/officeDocument/2006/extended-properties">
  <Application>Microsoft Excel Online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Kim Furlong</dc:creator>
  <dc:description/>
  <cp:keywords/>
  <cp:lastModifiedBy>Kim Furlong</cp:lastModifiedBy>
  <dcterms:created xsi:type="dcterms:W3CDTF">2025-03-11T16:21:45Z</dcterms:created>
  <dcterms:modified xsi:type="dcterms:W3CDTF">2025-03-12T10:48:24Z</dcterms:modified>
  <dc:subject/>
  <dc:title>OS Allowances Expenses - January 2022 to February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5f3b2b5-6cd6-4844-bcf5-24ee153c47a6_Enabled">
    <vt:lpstr>true</vt:lpstr>
  </property>
  <property fmtid="{D5CDD505-2E9C-101B-9397-08002B2CF9AE}" pid="3" name="MSIP_Label_05f3b2b5-6cd6-4844-bcf5-24ee153c47a6_SetDate">
    <vt:lpstr>2025-03-11T16:22:03Z</vt:lpstr>
  </property>
  <property fmtid="{D5CDD505-2E9C-101B-9397-08002B2CF9AE}" pid="4" name="MSIP_Label_05f3b2b5-6cd6-4844-bcf5-24ee153c47a6_Method">
    <vt:lpstr>Privileged</vt:lpstr>
  </property>
  <property fmtid="{D5CDD505-2E9C-101B-9397-08002B2CF9AE}" pid="5" name="MSIP_Label_05f3b2b5-6cd6-4844-bcf5-24ee153c47a6_Name">
    <vt:lpstr>OFFICIAL-SENSITIVE-COMMERCIAL</vt:lpstr>
  </property>
  <property fmtid="{D5CDD505-2E9C-101B-9397-08002B2CF9AE}" pid="6" name="MSIP_Label_05f3b2b5-6cd6-4844-bcf5-24ee153c47a6_SiteId">
    <vt:lpstr>7988742d-c543-4b9a-87a9-10a7b354d289</vt:lpstr>
  </property>
  <property fmtid="{D5CDD505-2E9C-101B-9397-08002B2CF9AE}" pid="7" name="MSIP_Label_05f3b2b5-6cd6-4844-bcf5-24ee153c47a6_ActionId">
    <vt:lpstr>2299383d-0b4d-4c30-b01c-efbed5ef5d75</vt:lpstr>
  </property>
  <property fmtid="{D5CDD505-2E9C-101B-9397-08002B2CF9AE}" pid="8" name="MSIP_Label_05f3b2b5-6cd6-4844-bcf5-24ee153c47a6_ContentBits">
    <vt:lpstr>0</vt:lpstr>
  </property>
  <property fmtid="{D5CDD505-2E9C-101B-9397-08002B2CF9AE}" pid="9" name="MSIP_Label_05f3b2b5-6cd6-4844-bcf5-24ee153c47a6_Tag">
    <vt:lpstr>10, 0, 1, 1</vt:lpstr>
  </property>
</Properties>
</file>