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925"/>
  <workbookPr codeName="ThisWorkbook"/>
  <bookViews>
    <workbookView xWindow="19090" yWindow="-110" windowWidth="38620" windowHeight="21100"/>
  </bookViews>
  <sheets>
    <sheet name="CURRENT Accom Subs &amp; Travel" sheetId="5" r:id="rId1"/>
  </sheets>
  <definedNames>
    <definedName name="OSTemplate" comment="">TRUE</definedName>
  </definedNames>
  <calcPr fullPrecision="1"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<sst xmlns="http://schemas.openxmlformats.org/spreadsheetml/2006/main" uniqueCount="11" count="11">
  <si>
    <t>Travel</t>
  </si>
  <si>
    <t>Subsistence</t>
  </si>
  <si>
    <t>Accommodation</t>
  </si>
  <si>
    <t>TOTAL</t>
  </si>
  <si>
    <t>Month</t>
  </si>
  <si>
    <t>Other</t>
  </si>
  <si>
    <t>All Staff</t>
  </si>
  <si>
    <t>Transparency Data</t>
  </si>
  <si>
    <t>Accommodation, Subsistence and Travel</t>
  </si>
  <si>
    <t>.</t>
  </si>
  <si>
    <t>July 2023 to Aug 2025  inclusive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</si>
</sst>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[Red]\(#,##0\);&quot;-&quot;_);[Blue]&quot;Error-&quot;@"/>
    <numFmt numFmtId="165" formatCode="&quot;£&quot;* #,##0_);[Red]&quot;£&quot;* \(#,##0\);&quot;£&quot;* &quot;-&quot;_);[Blue]&quot;Error-&quot;@"/>
    <numFmt numFmtId="166" formatCode="dd\ mmm\ yyyy_)"/>
    <numFmt numFmtId="167" formatCode="dd/mm/yy_)"/>
    <numFmt numFmtId="168" formatCode="0%_);[Red]\-0%_);0%_);[Blue]&quot;Error-&quot;@"/>
    <numFmt numFmtId="169" formatCode="&quot;Error&quot;;&quot;Error&quot;;&quot;OK&quot;"/>
    <numFmt numFmtId="170" formatCode="000"/>
    <numFmt numFmtId="171" formatCode="#,##0_);\(#,##0\);&quot;-&quot;_);[Blue]&quot;Error-&quot;@"/>
    <numFmt numFmtId="172" formatCode="&quot;£&quot;\ #,##0"/>
    <numFmt numFmtId="173" formatCode="mmmm\ yyyy"/>
    <numFmt numFmtId="174" formatCode="&quot;£&quot;\ #,##0.00"/>
  </numFmts>
  <fonts count="45">
    <font>
      <sz val="9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b/>
      <sz val="18"/>
      <color theme="3"/>
      <name val="Cambria"/>
      <family val="2"/>
      <charset val="0"/>
      <scheme val="major"/>
    </font>
    <font>
      <b/>
      <sz val="11"/>
      <color theme="3"/>
      <name val="Calibri"/>
      <family val="2"/>
      <charset val="0"/>
      <scheme val="minor"/>
    </font>
    <font>
      <sz val="9"/>
      <name val="Arial"/>
      <family val="2"/>
      <charset val="0"/>
    </font>
    <font>
      <b/>
      <sz val="11"/>
      <color theme="1"/>
      <name val="Calibri"/>
      <family val="2"/>
      <charset val="0"/>
      <scheme val="minor"/>
    </font>
    <font>
      <sz val="10"/>
      <color theme="0"/>
      <name val="Arial"/>
      <family val="2"/>
      <charset val="0"/>
    </font>
    <font>
      <sz val="8"/>
      <color indexed="12"/>
      <name val="Arial"/>
      <family val="2"/>
      <charset val="0"/>
    </font>
    <font>
      <i/>
      <sz val="10"/>
      <color rgb="FF7F7F7F"/>
      <name val="Calibri"/>
      <family val="2"/>
      <charset val="0"/>
      <scheme val="minor"/>
    </font>
    <font>
      <i/>
      <sz val="8"/>
      <color indexed="62"/>
      <name val="Arial"/>
      <family val="2"/>
      <charset val="0"/>
    </font>
    <font>
      <sz val="8"/>
      <color indexed="20"/>
      <name val="Arial"/>
      <family val="2"/>
      <charset val="0"/>
    </font>
    <font>
      <sz val="11"/>
      <color theme="0"/>
      <name val="Calibri"/>
      <family val="2"/>
      <charset val="0"/>
      <scheme val="minor"/>
    </font>
    <font>
      <sz val="10"/>
      <name val="Arial"/>
      <family val="2"/>
      <charset val="0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theme="0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b/>
      <sz val="10"/>
      <name val="Arial"/>
      <family val="2"/>
      <charset val="0"/>
    </font>
    <font>
      <sz val="9"/>
      <color rgb="FF0070C0"/>
      <name val="Arial"/>
      <family val="2"/>
      <charset val="0"/>
    </font>
    <font>
      <b/>
      <sz val="11"/>
      <color theme="0"/>
      <name val="Arial"/>
      <family val="2"/>
      <charset val="0"/>
    </font>
    <font>
      <b/>
      <sz val="10"/>
      <color theme="0"/>
      <name val="Arial"/>
      <family val="2"/>
      <charset val="0"/>
    </font>
    <font>
      <sz val="8"/>
      <name val="Arial"/>
      <family val="2"/>
      <charset val="0"/>
    </font>
    <font>
      <b/>
      <sz val="8"/>
      <name val="Arial"/>
      <family val="2"/>
      <charset val="0"/>
    </font>
    <font>
      <sz val="8"/>
      <color indexed="8"/>
      <name val="Arial"/>
      <family val="2"/>
      <charset val="0"/>
    </font>
    <font>
      <b/>
      <sz val="8"/>
      <color indexed="8"/>
      <name val="Arial"/>
      <family val="2"/>
      <charset val="0"/>
    </font>
    <font>
      <sz val="19"/>
      <name val="Arial"/>
      <family val="2"/>
      <charset val="0"/>
    </font>
    <font>
      <sz val="8"/>
      <color indexed="14"/>
      <name val="Arial"/>
      <family val="2"/>
      <charset val="0"/>
    </font>
    <font>
      <sz val="11"/>
      <color indexed="9"/>
      <name val="Calibri"/>
      <family val="2"/>
      <charset val="0"/>
    </font>
    <font>
      <sz val="11"/>
      <color indexed="8"/>
      <name val="Calibri"/>
      <family val="2"/>
      <charset val="0"/>
    </font>
    <font>
      <sz val="11"/>
      <color indexed="37"/>
      <name val="Calibri"/>
      <family val="2"/>
      <charset val="0"/>
    </font>
    <font>
      <b/>
      <sz val="11"/>
      <color indexed="17"/>
      <name val="Calibri"/>
      <family val="2"/>
      <charset val="0"/>
    </font>
    <font>
      <b/>
      <sz val="11"/>
      <color indexed="9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5"/>
      <color indexed="62"/>
      <name val="Calibri"/>
      <family val="2"/>
      <charset val="0"/>
    </font>
    <font>
      <b/>
      <sz val="13"/>
      <color indexed="62"/>
      <name val="Calibri"/>
      <family val="2"/>
      <charset val="0"/>
    </font>
    <font>
      <b/>
      <sz val="11"/>
      <color indexed="62"/>
      <name val="Calibri"/>
      <family val="2"/>
      <charset val="0"/>
    </font>
    <font>
      <sz val="11"/>
      <color indexed="48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62"/>
      <name val="Cambria"/>
      <family val="2"/>
      <charset val="0"/>
    </font>
    <font>
      <sz val="11"/>
      <color indexed="14"/>
      <name val="Calibri"/>
      <family val="2"/>
      <charset val="0"/>
    </font>
    <font>
      <sz val="8"/>
      <color indexed="62"/>
      <name val="Arial"/>
      <family val="2"/>
      <charset val="0"/>
    </font>
  </fonts>
  <fills count="8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rgb="FF808285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FFCC"/>
        <bgColor indexed="65"/>
      </patternFill>
    </fill>
    <fill>
      <patternFill patternType="solid">
        <fgColor indexed="60"/>
        <bgColor indexed="65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1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0"/>
        <bgColor indexed="65"/>
      </patternFill>
    </fill>
    <fill>
      <patternFill patternType="solid">
        <fgColor indexed="11"/>
        <bgColor indexed="65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5"/>
      </patternFill>
    </fill>
    <fill>
      <patternFill patternType="solid">
        <fgColor indexed="40"/>
        <bgColor indexed="65"/>
      </patternFill>
    </fill>
    <fill>
      <patternFill patternType="solid">
        <fgColor indexed="41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3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9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3">
    <xf numFmtId="0" fontId="0" fillId="0" borderId="0"/>
    <xf numFmtId="0" fontId="2" fillId="0" borderId="0" applyAlignment="0" applyBorder="0" applyNumberFormat="0" applyFill="0" applyProtection="0"/>
    <xf numFmtId="0" fontId="22" fillId="2" borderId="0"/>
    <xf numFmtId="0" fontId="20" fillId="3" borderId="0"/>
    <xf numFmtId="0" fontId="20" fillId="0" borderId="0"/>
    <xf numFmtId="0" fontId="3" fillId="0" borderId="0" applyAlignment="0" applyBorder="0" applyNumberFormat="0" applyFill="0" applyProtection="0"/>
    <xf numFmtId="0" fontId="5" fillId="0" borderId="1" applyAlignment="0" applyNumberFormat="0" applyFill="0" applyProtection="0"/>
    <xf numFmtId="164" fontId="0" fillId="0" borderId="0"/>
    <xf numFmtId="164" fontId="0" fillId="0" borderId="2"/>
    <xf numFmtId="165" fontId="0" fillId="0" borderId="0"/>
    <xf numFmtId="165" fontId="0" fillId="0" borderId="2"/>
    <xf numFmtId="166" fontId="0" fillId="0" borderId="0">
      <alignment horizontal="right"/>
      <protection locked="0"/>
    </xf>
    <xf numFmtId="167" fontId="0" fillId="0" borderId="0">
      <alignment horizontal="right"/>
    </xf>
    <xf numFmtId="168" fontId="0" fillId="0" borderId="0"/>
    <xf numFmtId="168" fontId="0" fillId="0" borderId="2"/>
    <xf numFmtId="164" fontId="0" fillId="4" borderId="3"/>
    <xf numFmtId="168" fontId="0" fillId="4" borderId="3"/>
    <xf numFmtId="0" fontId="0" fillId="4" borderId="3"/>
    <xf numFmtId="169" fontId="7" fillId="0" borderId="4">
      <alignment horizontal="center"/>
    </xf>
    <xf numFmtId="164" fontId="0" fillId="5" borderId="5">
      <protection locked="0"/>
    </xf>
    <xf numFmtId="165" fontId="0" fillId="5" borderId="5">
      <protection locked="0"/>
    </xf>
    <xf numFmtId="166" fontId="0" fillId="6" borderId="5">
      <alignment horizontal="right"/>
      <protection locked="0"/>
    </xf>
    <xf numFmtId="167" fontId="0" fillId="5" borderId="5">
      <alignment horizontal="right"/>
      <protection locked="0"/>
    </xf>
    <xf numFmtId="168" fontId="0" fillId="5" borderId="5">
      <protection locked="0"/>
    </xf>
    <xf numFmtId="0" fontId="0" fillId="7" borderId="5">
      <alignment horizontal="left"/>
      <protection locked="0"/>
    </xf>
    <xf numFmtId="170" fontId="0" fillId="5" borderId="5">
      <alignment horizontal="left" indent="1"/>
      <protection locked="0"/>
    </xf>
    <xf numFmtId="0" fontId="8" fillId="0" borderId="0"/>
    <xf numFmtId="0" fontId="0" fillId="0" borderId="0"/>
    <xf numFmtId="0" fontId="9" fillId="0" borderId="0"/>
    <xf numFmtId="0" fontId="10" fillId="0" borderId="0">
      <alignment horizontal="center"/>
    </xf>
    <xf numFmtId="0" fontId="0" fillId="8" borderId="0" applyAlignment="0" applyBorder="0" applyFont="0" applyNumberFormat="0"/>
    <xf numFmtId="0" fontId="6" fillId="9" borderId="6"/>
    <xf numFmtId="0" fontId="11" fillId="10" borderId="0" applyAlignment="0" applyBorder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1" fillId="13" borderId="0" applyAlignment="0" applyBorder="0" applyNumberFormat="0" applyProtection="0"/>
    <xf numFmtId="0" fontId="11" fillId="14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1" fillId="17" borderId="0" applyAlignment="0" applyBorder="0" applyNumberFormat="0" applyProtection="0"/>
    <xf numFmtId="0" fontId="11" fillId="18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1" fillId="21" borderId="0" applyAlignment="0" applyBorder="0" applyNumberFormat="0" applyProtection="0"/>
    <xf numFmtId="0" fontId="11" fillId="22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1" fillId="25" borderId="0" applyAlignment="0" applyBorder="0" applyNumberFormat="0" applyProtection="0"/>
    <xf numFmtId="0" fontId="11" fillId="26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1" fillId="29" borderId="0" applyAlignment="0" applyBorder="0" applyNumberFormat="0" applyProtection="0"/>
    <xf numFmtId="0" fontId="11" fillId="30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1" fillId="33" borderId="0" applyAlignment="0" applyBorder="0" applyNumberFormat="0" applyProtection="0"/>
    <xf numFmtId="43" fontId="12" fillId="0" borderId="0" applyAlignment="0" applyBorder="0" applyFont="0" applyFill="0" applyProtection="0"/>
    <xf numFmtId="41" fontId="12" fillId="0" borderId="0" applyAlignment="0" applyBorder="0" applyFont="0" applyFill="0" applyProtection="0"/>
    <xf numFmtId="44" fontId="12" fillId="0" borderId="0" applyAlignment="0" applyBorder="0" applyFont="0" applyFill="0" applyProtection="0"/>
    <xf numFmtId="42" fontId="12" fillId="0" borderId="0" applyAlignment="0" applyBorder="0" applyFont="0" applyFill="0" applyProtection="0"/>
    <xf numFmtId="9" fontId="12" fillId="0" borderId="0" applyAlignment="0" applyBorder="0" applyFont="0" applyFill="0" applyProtection="0"/>
    <xf numFmtId="0" fontId="13" fillId="34" borderId="7" applyAlignment="0" applyNumberFormat="0" applyProtection="0"/>
    <xf numFmtId="0" fontId="14" fillId="35" borderId="8" applyAlignment="0" applyNumberFormat="0" applyProtection="0"/>
    <xf numFmtId="0" fontId="15" fillId="35" borderId="7" applyAlignment="0" applyNumberFormat="0" applyProtection="0"/>
    <xf numFmtId="0" fontId="16" fillId="0" borderId="9" applyAlignment="0" applyNumberFormat="0" applyFill="0" applyProtection="0"/>
    <xf numFmtId="0" fontId="17" fillId="36" borderId="10" applyAlignment="0" applyNumberFormat="0" applyProtection="0"/>
    <xf numFmtId="0" fontId="18" fillId="0" borderId="0" applyAlignment="0" applyBorder="0" applyNumberFormat="0" applyFill="0" applyProtection="0"/>
    <xf numFmtId="0" fontId="12" fillId="37" borderId="11" applyAlignment="0" applyFont="0" applyNumberFormat="0" applyProtection="0"/>
    <xf numFmtId="0" fontId="19" fillId="0" borderId="0" applyAlignment="0" applyBorder="0" applyNumberFormat="0" applyFill="0" applyProtection="0"/>
    <xf numFmtId="167" fontId="0" fillId="4" borderId="3"/>
    <xf numFmtId="171" fontId="21" fillId="4" borderId="3"/>
    <xf numFmtId="0" fontId="24" fillId="38" borderId="0"/>
    <xf numFmtId="0" fontId="30" fillId="39" borderId="0" applyAlignment="0" applyBorder="0" applyNumberFormat="0" applyProtection="0"/>
    <xf numFmtId="0" fontId="31" fillId="40" borderId="0" applyAlignment="0" applyBorder="0" applyNumberFormat="0" applyProtection="0"/>
    <xf numFmtId="0" fontId="31" fillId="41" borderId="0" applyAlignment="0" applyBorder="0" applyNumberFormat="0" applyProtection="0"/>
    <xf numFmtId="0" fontId="30" fillId="42" borderId="0" applyAlignment="0" applyBorder="0" applyNumberFormat="0" applyProtection="0"/>
    <xf numFmtId="0" fontId="30" fillId="43" borderId="0" applyAlignment="0" applyBorder="0" applyNumberFormat="0" applyProtection="0"/>
    <xf numFmtId="0" fontId="31" fillId="44" borderId="0" applyAlignment="0" applyBorder="0" applyNumberFormat="0" applyProtection="0"/>
    <xf numFmtId="0" fontId="31" fillId="45" borderId="0" applyAlignment="0" applyBorder="0" applyNumberFormat="0" applyProtection="0"/>
    <xf numFmtId="0" fontId="30" fillId="46" borderId="0" applyAlignment="0" applyBorder="0" applyNumberFormat="0" applyProtection="0"/>
    <xf numFmtId="0" fontId="30" fillId="47" borderId="0" applyAlignment="0" applyBorder="0" applyNumberFormat="0" applyProtection="0"/>
    <xf numFmtId="0" fontId="31" fillId="48" borderId="0" applyAlignment="0" applyBorder="0" applyNumberFormat="0" applyProtection="0"/>
    <xf numFmtId="0" fontId="31" fillId="49" borderId="0" applyAlignment="0" applyBorder="0" applyNumberFormat="0" applyProtection="0"/>
    <xf numFmtId="0" fontId="30" fillId="50" borderId="0" applyAlignment="0" applyBorder="0" applyNumberFormat="0" applyProtection="0"/>
    <xf numFmtId="0" fontId="30" fillId="51" borderId="0" applyAlignment="0" applyBorder="0" applyNumberFormat="0" applyProtection="0"/>
    <xf numFmtId="0" fontId="31" fillId="44" borderId="0" applyAlignment="0" applyBorder="0" applyNumberFormat="0" applyProtection="0"/>
    <xf numFmtId="0" fontId="31" fillId="52" borderId="0" applyAlignment="0" applyBorder="0" applyNumberFormat="0" applyProtection="0"/>
    <xf numFmtId="0" fontId="30" fillId="45" borderId="0" applyAlignment="0" applyBorder="0" applyNumberFormat="0" applyProtection="0"/>
    <xf numFmtId="0" fontId="30" fillId="42" borderId="0" applyAlignment="0" applyBorder="0" applyNumberFormat="0" applyProtection="0"/>
    <xf numFmtId="0" fontId="31" fillId="53" borderId="0" applyAlignment="0" applyBorder="0" applyNumberFormat="0" applyProtection="0"/>
    <xf numFmtId="0" fontId="31" fillId="54" borderId="0" applyAlignment="0" applyBorder="0" applyNumberFormat="0" applyProtection="0"/>
    <xf numFmtId="0" fontId="30" fillId="42" borderId="0" applyAlignment="0" applyBorder="0" applyNumberFormat="0" applyProtection="0"/>
    <xf numFmtId="0" fontId="30" fillId="55" borderId="0" applyAlignment="0" applyBorder="0" applyNumberFormat="0" applyProtection="0"/>
    <xf numFmtId="0" fontId="31" fillId="56" borderId="0" applyAlignment="0" applyBorder="0" applyNumberFormat="0" applyProtection="0"/>
    <xf numFmtId="0" fontId="31" fillId="57" borderId="0" applyAlignment="0" applyBorder="0" applyNumberFormat="0" applyProtection="0"/>
    <xf numFmtId="0" fontId="30" fillId="58" borderId="0" applyAlignment="0" applyBorder="0" applyNumberFormat="0" applyProtection="0"/>
    <xf numFmtId="0" fontId="32" fillId="56" borderId="0" applyAlignment="0" applyBorder="0" applyNumberFormat="0" applyProtection="0"/>
    <xf numFmtId="0" fontId="33" fillId="59" borderId="12" applyAlignment="0" applyNumberFormat="0" applyProtection="0"/>
    <xf numFmtId="0" fontId="34" fillId="51" borderId="13" applyAlignment="0" applyNumberFormat="0" applyProtection="0"/>
    <xf numFmtId="0" fontId="35" fillId="60" borderId="0" applyAlignment="0" applyBorder="0" applyNumberFormat="0" applyProtection="0"/>
    <xf numFmtId="0" fontId="35" fillId="61" borderId="0" applyAlignment="0" applyBorder="0" applyNumberFormat="0" applyProtection="0"/>
    <xf numFmtId="0" fontId="35" fillId="62" borderId="0" applyAlignment="0" applyBorder="0" applyNumberFormat="0" applyProtection="0"/>
    <xf numFmtId="0" fontId="31" fillId="49" borderId="0" applyAlignment="0" applyBorder="0" applyNumberFormat="0" applyProtection="0"/>
    <xf numFmtId="0" fontId="36" fillId="0" borderId="14" applyAlignment="0" applyNumberFormat="0" applyFill="0" applyProtection="0"/>
    <xf numFmtId="0" fontId="37" fillId="0" borderId="15" applyAlignment="0" applyNumberFormat="0" applyFill="0" applyProtection="0"/>
    <xf numFmtId="0" fontId="38" fillId="0" borderId="16" applyAlignment="0" applyNumberFormat="0" applyFill="0" applyProtection="0"/>
    <xf numFmtId="0" fontId="38" fillId="0" borderId="0" applyAlignment="0" applyBorder="0" applyNumberFormat="0" applyFill="0" applyProtection="0"/>
    <xf numFmtId="0" fontId="39" fillId="57" borderId="12" applyAlignment="0" applyNumberFormat="0" applyProtection="0"/>
    <xf numFmtId="0" fontId="40" fillId="0" borderId="17" applyAlignment="0" applyNumberFormat="0" applyFill="0" applyProtection="0"/>
    <xf numFmtId="0" fontId="40" fillId="57" borderId="0" applyAlignment="0" applyBorder="0" applyNumberFormat="0" applyProtection="0"/>
    <xf numFmtId="0" fontId="24" fillId="56" borderId="12" applyAlignment="0" applyFont="0" applyNumberFormat="0" applyProtection="0"/>
    <xf numFmtId="0" fontId="41" fillId="59" borderId="18" applyAlignment="0" applyNumberFormat="0" applyProtection="0"/>
    <xf numFmtId="4" fontId="24" fillId="63" borderId="12" applyNumberFormat="0" applyProtection="0">
      <alignment vertical="center"/>
    </xf>
    <xf numFmtId="4" fontId="44" fillId="5" borderId="12" applyNumberFormat="0" applyProtection="0">
      <alignment vertical="center"/>
    </xf>
    <xf numFmtId="4" fontId="24" fillId="5" borderId="12" applyNumberFormat="0" applyProtection="0">
      <alignment horizontal="left" vertical="center" indent="1"/>
    </xf>
    <xf numFmtId="0" fontId="27" fillId="63" borderId="19" applyNumberFormat="0" applyProtection="0">
      <alignment horizontal="left" vertical="top" indent="1"/>
    </xf>
    <xf numFmtId="4" fontId="24" fillId="64" borderId="12" applyNumberFormat="0" applyProtection="0">
      <alignment horizontal="left" vertical="center" indent="1"/>
    </xf>
    <xf numFmtId="4" fontId="24" fillId="65" borderId="1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24" fillId="67" borderId="20" applyNumberFormat="0" applyProtection="0">
      <alignment horizontal="right" vertical="center"/>
    </xf>
    <xf numFmtId="4" fontId="24" fillId="68" borderId="12" applyNumberFormat="0" applyProtection="0">
      <alignment horizontal="right" vertical="center"/>
    </xf>
    <xf numFmtId="4" fontId="24" fillId="69" borderId="12" applyNumberFormat="0" applyProtection="0">
      <alignment horizontal="right" vertical="center"/>
    </xf>
    <xf numFmtId="4" fontId="24" fillId="70" borderId="12" applyNumberFormat="0" applyProtection="0">
      <alignment horizontal="right" vertical="center"/>
    </xf>
    <xf numFmtId="4" fontId="24" fillId="71" borderId="12" applyNumberFormat="0" applyProtection="0">
      <alignment horizontal="right" vertical="center"/>
    </xf>
    <xf numFmtId="4" fontId="24" fillId="72" borderId="12" applyNumberFormat="0" applyProtection="0">
      <alignment horizontal="right" vertical="center"/>
    </xf>
    <xf numFmtId="4" fontId="24" fillId="73" borderId="12" applyNumberFormat="0" applyProtection="0">
      <alignment horizontal="right" vertical="center"/>
    </xf>
    <xf numFmtId="4" fontId="24" fillId="74" borderId="20" applyNumberFormat="0" applyProtection="0">
      <alignment horizontal="left" vertical="center" indent="1"/>
    </xf>
    <xf numFmtId="4" fontId="12" fillId="75" borderId="20" applyNumberFormat="0" applyProtection="0">
      <alignment horizontal="left" vertical="center" indent="1"/>
    </xf>
    <xf numFmtId="4" fontId="12" fillId="75" borderId="20" applyNumberFormat="0" applyProtection="0">
      <alignment horizontal="left" vertical="center" indent="1"/>
    </xf>
    <xf numFmtId="4" fontId="24" fillId="76" borderId="12" applyNumberFormat="0" applyProtection="0">
      <alignment horizontal="right" vertical="center"/>
    </xf>
    <xf numFmtId="4" fontId="24" fillId="77" borderId="20" applyNumberFormat="0" applyProtection="0">
      <alignment horizontal="left" vertical="center" indent="1"/>
    </xf>
    <xf numFmtId="4" fontId="24" fillId="76" borderId="20" applyNumberFormat="0" applyProtection="0">
      <alignment horizontal="left" vertical="center" indent="1"/>
    </xf>
    <xf numFmtId="0" fontId="24" fillId="78" borderId="12" applyNumberFormat="0" applyProtection="0">
      <alignment horizontal="left" vertical="center" indent="1"/>
    </xf>
    <xf numFmtId="0" fontId="24" fillId="75" borderId="19" applyNumberFormat="0" applyProtection="0">
      <alignment horizontal="left" vertical="top" indent="1"/>
    </xf>
    <xf numFmtId="0" fontId="24" fillId="79" borderId="12" applyNumberFormat="0" applyProtection="0">
      <alignment horizontal="left" vertical="center" indent="1"/>
    </xf>
    <xf numFmtId="0" fontId="24" fillId="76" borderId="19" applyNumberFormat="0" applyProtection="0">
      <alignment horizontal="left" vertical="top" indent="1"/>
    </xf>
    <xf numFmtId="0" fontId="24" fillId="80" borderId="12" applyNumberFormat="0" applyProtection="0">
      <alignment horizontal="left" vertical="center" indent="1"/>
    </xf>
    <xf numFmtId="0" fontId="24" fillId="80" borderId="19" applyNumberFormat="0" applyProtection="0">
      <alignment horizontal="left" vertical="top" indent="1"/>
    </xf>
    <xf numFmtId="0" fontId="24" fillId="77" borderId="12" applyNumberFormat="0" applyProtection="0">
      <alignment horizontal="left" vertical="center" indent="1"/>
    </xf>
    <xf numFmtId="0" fontId="24" fillId="77" borderId="19" applyNumberFormat="0" applyProtection="0">
      <alignment horizontal="left" vertical="top" indent="1"/>
    </xf>
    <xf numFmtId="0" fontId="24" fillId="81" borderId="21" applyNumberFormat="0">
      <protection locked="0"/>
    </xf>
    <xf numFmtId="0" fontId="25" fillId="75" borderId="22" applyBorder="0"/>
    <xf numFmtId="4" fontId="26" fillId="82" borderId="19" applyNumberFormat="0" applyProtection="0">
      <alignment vertical="center"/>
    </xf>
    <xf numFmtId="4" fontId="44" fillId="83" borderId="4" applyNumberFormat="0" applyProtection="0">
      <alignment vertical="center"/>
    </xf>
    <xf numFmtId="4" fontId="26" fillId="78" borderId="19" applyNumberFormat="0" applyProtection="0">
      <alignment horizontal="left" vertical="center" indent="1"/>
    </xf>
    <xf numFmtId="0" fontId="26" fillId="82" borderId="19" applyNumberFormat="0" applyProtection="0">
      <alignment horizontal="left" vertical="top" indent="1"/>
    </xf>
    <xf numFmtId="4" fontId="24" fillId="0" borderId="12" applyNumberFormat="0" applyProtection="0">
      <alignment horizontal="right" vertical="center"/>
    </xf>
    <xf numFmtId="4" fontId="44" fillId="4" borderId="12" applyNumberFormat="0" applyProtection="0">
      <alignment horizontal="right" vertical="center"/>
    </xf>
    <xf numFmtId="4" fontId="24" fillId="64" borderId="12" applyNumberFormat="0" applyProtection="0">
      <alignment horizontal="left" vertical="center" indent="1"/>
    </xf>
    <xf numFmtId="0" fontId="26" fillId="76" borderId="19" applyNumberFormat="0" applyProtection="0">
      <alignment horizontal="left" vertical="top" indent="1"/>
    </xf>
    <xf numFmtId="4" fontId="28" fillId="84" borderId="20" applyNumberFormat="0" applyProtection="0">
      <alignment horizontal="left" vertical="center" indent="1"/>
    </xf>
    <xf numFmtId="0" fontId="24" fillId="85" borderId="4"/>
    <xf numFmtId="4" fontId="29" fillId="81" borderId="12" applyNumberFormat="0" applyProtection="0">
      <alignment horizontal="right" vertical="center"/>
    </xf>
    <xf numFmtId="0" fontId="42" fillId="0" borderId="0" applyAlignment="0" applyBorder="0" applyNumberFormat="0" applyFill="0" applyProtection="0"/>
    <xf numFmtId="0" fontId="35" fillId="0" borderId="23" applyAlignment="0" applyNumberFormat="0" applyFill="0" applyProtection="0"/>
    <xf numFmtId="0" fontId="43" fillId="0" borderId="0" applyAlignment="0" applyBorder="0" applyNumberFormat="0" applyFill="0" applyProtection="0"/>
    <xf numFmtId="0" fontId="24" fillId="38" borderId="0"/>
    <xf numFmtId="0" fontId="12" fillId="0" borderId="0"/>
  </cellStyleXfs>
  <cellXfs>
    <xf numFmtId="0" fontId="0" fillId="0" borderId="0" xfId="0"/>
    <xf numFmtId="172" fontId="12" fillId="0" borderId="0" xfId="146" applyAlignment="1" applyBorder="1" applyFont="1" applyNumberFormat="1">
      <alignment horizontal="right" vertical="center"/>
    </xf>
    <xf numFmtId="0" fontId="6" fillId="2" borderId="24" xfId="0" applyBorder="1" applyFont="1" applyFill="1"/>
    <xf numFmtId="0" fontId="6" fillId="2" borderId="25" xfId="0" applyBorder="1" applyFont="1" applyFill="1"/>
    <xf numFmtId="0" fontId="12" fillId="2" borderId="26" xfId="0" applyBorder="1" applyFont="1" applyFill="1"/>
    <xf numFmtId="0" fontId="12" fillId="86" borderId="2" xfId="0" applyBorder="1" applyFont="1" applyFill="1"/>
    <xf numFmtId="0" fontId="12" fillId="0" borderId="0" xfId="0" applyFont="1"/>
    <xf numFmtId="0" fontId="12" fillId="2" borderId="27" xfId="0" applyBorder="1" applyFont="1" applyFill="1"/>
    <xf numFmtId="0" fontId="12" fillId="86" borderId="0" xfId="0" applyFont="1" applyFill="1"/>
    <xf numFmtId="0" fontId="12" fillId="87" borderId="25" xfId="0" applyBorder="1" applyFont="1" applyFill="1"/>
    <xf numFmtId="0" fontId="12" fillId="87" borderId="27" xfId="0" applyBorder="1" applyFont="1" applyFill="1"/>
    <xf numFmtId="0" fontId="12" fillId="3" borderId="0" xfId="0" applyFont="1" applyFill="1"/>
    <xf numFmtId="0" fontId="12" fillId="0" borderId="25" xfId="0" applyBorder="1" applyFont="1"/>
    <xf numFmtId="0" fontId="12" fillId="0" borderId="27" xfId="0" applyBorder="1" applyFont="1"/>
    <xf numFmtId="0" fontId="12" fillId="0" borderId="28" xfId="0" applyBorder="1" applyFont="1"/>
    <xf numFmtId="0" fontId="12" fillId="0" borderId="29" xfId="0" applyBorder="1" applyFont="1"/>
    <xf numFmtId="0" fontId="20" fillId="0" borderId="0" xfId="0" applyAlignment="1" applyFont="1">
      <alignment vertical="center"/>
    </xf>
    <xf numFmtId="0" fontId="12" fillId="0" borderId="0" xfId="0" applyAlignment="1" applyFont="1">
      <alignment horizontal="left" vertical="center" wrapText="1" indent="1"/>
    </xf>
    <xf numFmtId="0" fontId="20" fillId="0" borderId="4" xfId="71" applyBorder="1" applyFont="1" applyFill="1"/>
    <xf numFmtId="0" fontId="6" fillId="2" borderId="2" xfId="0" applyAlignment="1" applyBorder="1" applyFont="1" applyFill="1">
      <alignment horizontal="left"/>
    </xf>
    <xf numFmtId="0" fontId="12" fillId="87" borderId="0" xfId="0" applyAlignment="1" applyFont="1" applyFill="1">
      <alignment horizontal="left"/>
    </xf>
    <xf numFmtId="0" fontId="12" fillId="0" borderId="0" xfId="0" applyAlignment="1" applyFont="1">
      <alignment horizontal="left"/>
    </xf>
    <xf numFmtId="0" fontId="20" fillId="0" borderId="4" xfId="71" applyAlignment="1" applyBorder="1" applyFont="1" applyFill="1">
      <alignment horizontal="right"/>
    </xf>
    <xf numFmtId="0" fontId="12" fillId="86" borderId="2" xfId="0" applyAlignment="1" applyBorder="1" applyFont="1" applyFill="1">
      <alignment horizontal="center"/>
    </xf>
    <xf numFmtId="0" fontId="12" fillId="86" borderId="0" xfId="0" applyAlignment="1" applyFont="1" applyFill="1">
      <alignment horizontal="center"/>
    </xf>
    <xf numFmtId="0" fontId="12" fillId="3" borderId="0" xfId="0" applyAlignment="1" applyFont="1" applyFill="1">
      <alignment horizontal="center"/>
    </xf>
    <xf numFmtId="0" fontId="12" fillId="0" borderId="0" xfId="0" applyAlignment="1" applyFont="1">
      <alignment horizontal="center"/>
    </xf>
    <xf numFmtId="172" fontId="12" fillId="0" borderId="0" xfId="146" applyAlignment="1" applyBorder="1" applyFont="1" applyNumberFormat="1">
      <alignment horizontal="center" vertical="center"/>
    </xf>
    <xf numFmtId="173" fontId="12" fillId="0" borderId="4" xfId="0" applyAlignment="1" applyBorder="1" applyFont="1" applyNumberFormat="1">
      <alignment horizontal="left"/>
    </xf>
    <xf numFmtId="174" fontId="12" fillId="0" borderId="4" xfId="112" applyAlignment="1" applyBorder="1" applyFont="1" applyNumberFormat="1" applyFill="1">
      <alignment vertical="center"/>
    </xf>
    <xf numFmtId="174" fontId="20" fillId="6" borderId="4" xfId="112" applyAlignment="1" applyBorder="1" applyFont="1" applyNumberFormat="1" applyFill="1">
      <alignment vertical="center"/>
    </xf>
    <xf numFmtId="0" fontId="23" fillId="2" borderId="0" xfId="0" applyFont="1" applyFill="1"/>
    <xf numFmtId="0" fontId="23" fillId="87" borderId="0" xfId="0" applyAlignment="1" applyFont="1" applyFill="1">
      <alignment horizontal="left"/>
    </xf>
    <xf numFmtId="0" fontId="20" fillId="0" borderId="30" xfId="0" applyAlignment="1" applyBorder="1" applyFont="1">
      <alignment horizontal="left"/>
    </xf>
    <xf numFmtId="0" fontId="23" fillId="2" borderId="2" xfId="0" applyAlignment="1" applyBorder="1" applyFont="1" applyFill="1">
      <alignment horizontal="left"/>
    </xf>
  </cellXfs>
  <cellStyles count="143">
    <cellStyle name="20% - Accent1" xfId="33" builtinId="30"/>
    <cellStyle name="20% - Accent2" xfId="37" builtinId="34"/>
    <cellStyle name="20% - Accent3" xfId="41" builtinId="38"/>
    <cellStyle name="20% - Accent4" xfId="45" builtinId="42"/>
    <cellStyle name="20% - Accent5" xfId="49" builtinId="46"/>
    <cellStyle name="20% - Accent6" xfId="53" builtinId="50"/>
    <cellStyle name="40% - Accent1" xfId="34" builtinId="31"/>
    <cellStyle name="40% - Accent2" xfId="38" builtinId="35"/>
    <cellStyle name="40% - Accent3" xfId="42" builtinId="39"/>
    <cellStyle name="40% - Accent4" xfId="46" builtinId="43"/>
    <cellStyle name="40% - Accent5" xfId="50" builtinId="47"/>
    <cellStyle name="40% - Accent6" xfId="54" builtinId="51"/>
    <cellStyle name="60% - Accent1" xfId="35" builtinId="32"/>
    <cellStyle name="60% - Accent2" xfId="39" builtinId="36"/>
    <cellStyle name="60% - Accent3" xfId="43" builtinId="40"/>
    <cellStyle name="60% - Accent4" xfId="47" builtinId="44"/>
    <cellStyle name="60% - Accent5" xfId="51" builtinId="48"/>
    <cellStyle name="60% - Accent6" xfId="55" builtinId="52"/>
    <cellStyle name="Accent1" xfId="32" builtinId="29"/>
    <cellStyle name="Accent1 - 20%" xfId="73"/>
    <cellStyle name="Accent1 - 40%" xfId="74"/>
    <cellStyle name="Accent1 - 60%" xfId="75"/>
    <cellStyle name="Accent2" xfId="36" builtinId="33"/>
    <cellStyle name="Accent2 - 20%" xfId="77"/>
    <cellStyle name="Accent2 - 40%" xfId="78"/>
    <cellStyle name="Accent2 - 60%" xfId="79"/>
    <cellStyle name="Accent3" xfId="40" builtinId="37"/>
    <cellStyle name="Accent3 - 20%" xfId="81"/>
    <cellStyle name="Accent3 - 40%" xfId="82"/>
    <cellStyle name="Accent3 - 60%" xfId="83"/>
    <cellStyle name="Accent4" xfId="44" builtinId="41"/>
    <cellStyle name="Accent4 - 20%" xfId="85"/>
    <cellStyle name="Accent4 - 40%" xfId="86"/>
    <cellStyle name="Accent4 - 60%" xfId="87"/>
    <cellStyle name="Accent5" xfId="48" builtinId="45"/>
    <cellStyle name="Accent5 - 20%" xfId="89"/>
    <cellStyle name="Accent5 - 40%" xfId="90"/>
    <cellStyle name="Accent5 - 60%" xfId="91"/>
    <cellStyle name="Accent6" xfId="52" builtinId="49"/>
    <cellStyle name="Accent6 - 20%" xfId="93"/>
    <cellStyle name="Accent6 - 40%" xfId="94"/>
    <cellStyle name="Accent6 - 60%" xfId="95"/>
    <cellStyle name="Bad 2" xfId="96"/>
    <cellStyle name="CALC Amount" xfId="7"/>
    <cellStyle name="CALC Amount Total" xfId="8"/>
    <cellStyle name="CALC Currency" xfId="9"/>
    <cellStyle name="CALC Currency Total" xfId="10"/>
    <cellStyle name="CALC Date Long" xfId="11"/>
    <cellStyle name="CALC Date Short" xfId="12"/>
    <cellStyle name="CALC Percent" xfId="13"/>
    <cellStyle name="CALC Percent Total" xfId="14"/>
    <cellStyle name="Calculation" xfId="63" builtinId="22"/>
    <cellStyle name="CALLUP Amount" xfId="15"/>
    <cellStyle name="CALLUP Amount LINK" xfId="70"/>
    <cellStyle name="CALLUP Date" xfId="69"/>
    <cellStyle name="CALLUP Percent" xfId="16"/>
    <cellStyle name="CALLUP Text" xfId="17"/>
    <cellStyle name="Check" xfId="18"/>
    <cellStyle name="Check Cell" xfId="65" builtinId="23"/>
    <cellStyle name="Comma" xfId="56" builtinId="3"/>
    <cellStyle name="Comma [0]" xfId="57" builtinId="6"/>
    <cellStyle name="Currency" xfId="58" builtinId="4"/>
    <cellStyle name="Currency [0]" xfId="59" builtinId="7"/>
    <cellStyle name="DATA Amount" xfId="19"/>
    <cellStyle name="DATA Currency" xfId="20"/>
    <cellStyle name="DATA Date Long" xfId="21"/>
    <cellStyle name="DATA Date Short" xfId="22"/>
    <cellStyle name="DATA Percent" xfId="23"/>
    <cellStyle name="DATA Text" xfId="24"/>
    <cellStyle name="DATA Version" xfId="25"/>
    <cellStyle name="DescriptionText" xfId="26"/>
    <cellStyle name="Emphasis 1" xfId="99"/>
    <cellStyle name="Emphasis 2" xfId="100"/>
    <cellStyle name="Emphasis 3" xfId="101"/>
    <cellStyle name="Explanatory Text" xfId="68" builtinId="53"/>
    <cellStyle name="Good 2" xfId="102"/>
    <cellStyle name="Heading 1" xfId="2" builtinId="16"/>
    <cellStyle name="Heading 1 2" xfId="103"/>
    <cellStyle name="Heading 2" xfId="3" builtinId="17"/>
    <cellStyle name="Heading 2 2" xfId="104"/>
    <cellStyle name="Heading 3" xfId="4" builtinId="18"/>
    <cellStyle name="Heading 3 2" xfId="105"/>
    <cellStyle name="Heading 4" xfId="5" builtinId="19"/>
    <cellStyle name="Input" xfId="61" builtinId="20"/>
    <cellStyle name="LABEL Normal" xfId="27"/>
    <cellStyle name="LABEL Note" xfId="28"/>
    <cellStyle name="LABEL Units" xfId="29"/>
    <cellStyle name="Linked Cell" xfId="64" builtinId="24"/>
    <cellStyle name="N/A Style" xfId="30"/>
    <cellStyle name="Neutral 2" xfId="109"/>
    <cellStyle name="Normal" xfId="0" builtinId="0"/>
    <cellStyle name="Normal 2" xfId="71"/>
    <cellStyle name="Normal 3" xfId="156"/>
    <cellStyle name="Normal 4" xfId="157"/>
    <cellStyle name="Note" xfId="67" builtinId="10"/>
    <cellStyle name="Output" xfId="62" builtinId="21"/>
    <cellStyle name="Percent" xfId="60" builtinId="5"/>
    <cellStyle name="SAPBEXaggData" xfId="112"/>
    <cellStyle name="SAPBEXaggDataEmph" xfId="113"/>
    <cellStyle name="SAPBEXaggItem" xfId="114"/>
    <cellStyle name="SAPBEXaggItemX" xfId="115"/>
    <cellStyle name="SAPBEXchaText" xfId="116"/>
    <cellStyle name="SAPBEXexcBad7" xfId="117"/>
    <cellStyle name="SAPBEXexcBad8" xfId="118"/>
    <cellStyle name="SAPBEXexcBad9" xfId="119"/>
    <cellStyle name="SAPBEXexcCritical4" xfId="120"/>
    <cellStyle name="SAPBEXexcCritical5" xfId="121"/>
    <cellStyle name="SAPBEXexcCritical6" xfId="122"/>
    <cellStyle name="SAPBEXexcGood1" xfId="123"/>
    <cellStyle name="SAPBEXexcGood2" xfId="124"/>
    <cellStyle name="SAPBEXexcGood3" xfId="125"/>
    <cellStyle name="SAPBEXfilterDrill" xfId="126"/>
    <cellStyle name="SAPBEXfilterItem" xfId="127"/>
    <cellStyle name="SAPBEXfilterText" xfId="128"/>
    <cellStyle name="SAPBEXformats" xfId="129"/>
    <cellStyle name="SAPBEXheaderItem" xfId="130"/>
    <cellStyle name="SAPBEXheaderText" xfId="131"/>
    <cellStyle name="SAPBEXHLevel0" xfId="132"/>
    <cellStyle name="SAPBEXHLevel0X" xfId="133"/>
    <cellStyle name="SAPBEXHLevel1" xfId="134"/>
    <cellStyle name="SAPBEXHLevel1X" xfId="135"/>
    <cellStyle name="SAPBEXHLevel2" xfId="136"/>
    <cellStyle name="SAPBEXHLevel2X" xfId="137"/>
    <cellStyle name="SAPBEXHLevel3" xfId="138"/>
    <cellStyle name="SAPBEXHLevel3X" xfId="139"/>
    <cellStyle name="SAPBEXinputData" xfId="140"/>
    <cellStyle name="SAPBEXItemHeader" xfId="141"/>
    <cellStyle name="SAPBEXresData" xfId="142"/>
    <cellStyle name="SAPBEXresDataEmph" xfId="143"/>
    <cellStyle name="SAPBEXresItem" xfId="144"/>
    <cellStyle name="SAPBEXresItemX" xfId="145"/>
    <cellStyle name="SAPBEXstdData" xfId="146"/>
    <cellStyle name="SAPBEXstdDataEmph" xfId="147"/>
    <cellStyle name="SAPBEXstdItem" xfId="148"/>
    <cellStyle name="SAPBEXstdItemX" xfId="149"/>
    <cellStyle name="SAPBEXtitle" xfId="150"/>
    <cellStyle name="SAPBEXunassignedItem" xfId="151"/>
    <cellStyle name="SAPBEXundefined" xfId="152"/>
    <cellStyle name="Sheet Title" xfId="153"/>
    <cellStyle name="SheetEnd" xfId="31"/>
    <cellStyle name="Title" xfId="1" builtinId="15"/>
    <cellStyle name="Total" xfId="6" builtinId="25"/>
    <cellStyle name="Warning Text" xfId="66" builtinId="11"/>
  </cellStyles>
  <dxfs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customXml" Target="../customXml/item3.xml" /><Relationship Id="rId3" Type="http://schemas.openxmlformats.org/officeDocument/2006/relationships/styles" Target="styles.xml" /><Relationship Id="rId6" Type="http://schemas.openxmlformats.org/officeDocument/2006/relationships/customXml" Target="../customXml/item2.xml" /><Relationship Id="rId2" Type="http://schemas.openxmlformats.org/officeDocument/2006/relationships/theme" Target="theme/theme1.xml" /><Relationship Id="rId5" Type="http://schemas.openxmlformats.org/officeDocument/2006/relationships/customXml" Target="../customXml/item1.xml" /><Relationship Id="rId8" Type="http://schemas.openxmlformats.org/officeDocument/2006/relationships/customXml" Target="../customXml/item4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S">
      <a:dk1>
        <a:srgbClr val="3C3C3C"/>
      </a:dk1>
      <a:lt1>
        <a:srgbClr val="FFFFFF"/>
      </a:lt1>
      <a:dk2>
        <a:srgbClr val="5DC5EA"/>
      </a:dk2>
      <a:lt2>
        <a:srgbClr val="E8E8E8"/>
      </a:lt2>
      <a:accent1>
        <a:srgbClr val="D4DDEA"/>
      </a:accent1>
      <a:accent2>
        <a:srgbClr val="D40058"/>
      </a:accent2>
      <a:accent3>
        <a:srgbClr val="453C90"/>
      </a:accent3>
      <a:accent4>
        <a:srgbClr val="AECC53"/>
      </a:accent4>
      <a:accent5>
        <a:srgbClr val="F7A70B"/>
      </a:accent5>
      <a:accent6>
        <a:srgbClr val="8F6FA0"/>
      </a:accent6>
      <a:hlink>
        <a:srgbClr val="004887"/>
      </a:hlink>
      <a:folHlink>
        <a:srgbClr val="00871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BJ152"/>
  <sheetViews>
    <sheetView topLeftCell="A1" showGridLines="0" view="normal" tabSelected="1" workbookViewId="0">
      <pane xSplit="4" ySplit="12" topLeftCell="E111" activePane="bottomRight" state="frozen"/>
      <selection pane="bottomRight" activeCell="C7" sqref="C7"/>
    </sheetView>
  </sheetViews>
  <sheetFormatPr defaultColWidth="0" zeroHeight="true" defaultRowHeight="12.5"/>
  <cols>
    <col min="1" max="1" width="6.75390625" style="6" customWidth="1"/>
    <col min="2" max="2" width="41.875" style="21" bestFit="1" customWidth="1"/>
    <col min="3" max="3" width="32.875" style="6" bestFit="1" customWidth="1"/>
    <col min="4" max="7" width="13.25390625" style="6" bestFit="1" customWidth="1"/>
    <col min="8" max="8" width="10.75390625" style="26" customWidth="1"/>
    <col min="9" max="28" width="9.75390625" style="6" customWidth="1"/>
    <col min="29" max="29" width="9.125" style="6" bestFit="1" customWidth="1"/>
    <col min="30" max="30" width="7.375" style="6" bestFit="1" customWidth="1"/>
    <col min="31" max="47" width="3.75390625" style="6" customWidth="1"/>
    <col min="48" max="55" width="1.75390625" style="6" customWidth="1"/>
    <col min="56" max="62" width="0" style="6" hidden="1" customWidth="1"/>
    <col min="63" max="16384" width="9.125" style="6" hidden="1" customWidth="1"/>
  </cols>
  <sheetData>
    <row r="1" spans="1:55" ht="13">
      <c r="A1" s="2"/>
      <c r="B1" s="34"/>
      <c r="C1" s="19"/>
      <c r="D1" s="4"/>
      <c r="E1" s="5"/>
      <c r="F1" s="5"/>
      <c r="G1" s="5"/>
      <c r="H1" s="2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5" ht="13">
      <c r="A2" s="3"/>
      <c r="B2" s="31" t="s">
        <v>8</v>
      </c>
      <c r="C2" s="31"/>
      <c r="D2" s="7"/>
      <c r="E2" s="8"/>
      <c r="F2" s="8"/>
      <c r="G2" s="8"/>
      <c r="H2" s="24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>
      <c r="A3" s="9"/>
      <c r="B3" s="20"/>
      <c r="C3" s="20"/>
      <c r="D3" s="10"/>
      <c r="E3" s="11"/>
      <c r="F3" s="11"/>
      <c r="G3" s="11"/>
      <c r="H3" s="25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55" ht="13">
      <c r="A4" s="9"/>
      <c r="B4" s="32" t="s">
        <v>7</v>
      </c>
      <c r="C4" s="32"/>
      <c r="D4" s="10"/>
      <c r="E4" s="11"/>
      <c r="F4" s="11"/>
      <c r="G4" s="11"/>
      <c r="H4" s="2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4">
      <c r="A5" s="12"/>
      <c r="C5" s="21"/>
      <c r="D5" s="13"/>
    </row>
    <row r="6" spans="1:4" ht="13">
      <c r="A6" s="14"/>
      <c r="B6" s="33" t="s">
        <v>6</v>
      </c>
      <c r="C6" s="33" t="s">
        <v>10</v>
      </c>
      <c r="D6" s="15"/>
    </row>
    <row r="7" spans="3:3">
      <c r="C7" s="6" t="s">
        <v>9</v>
      </c>
    </row>
    <row r="8" spans="2:39" ht="13">
      <c r="B8" s="18" t="s">
        <v>4</v>
      </c>
      <c r="C8" s="22" t="s">
        <v>2</v>
      </c>
      <c r="D8" s="22" t="s">
        <v>1</v>
      </c>
      <c r="E8" s="22" t="s">
        <v>0</v>
      </c>
      <c r="F8" s="22" t="s">
        <v>5</v>
      </c>
      <c r="G8" s="22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K8" s="16"/>
      <c r="AM8" s="16"/>
    </row>
    <row r="9" spans="2:39" ht="13" hidden="1">
      <c r="B9" s="28">
        <v>42095</v>
      </c>
      <c r="C9" s="29">
        <v>72931.49</v>
      </c>
      <c r="D9" s="29">
        <v>18880.48</v>
      </c>
      <c r="E9" s="29">
        <v>109515.55</v>
      </c>
      <c r="F9" s="29">
        <v>93060.919999999984</v>
      </c>
      <c r="G9" s="30">
        <f>SUM(C9:F9)</f>
        <v>294388.44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K9" s="16"/>
      <c r="AM9" s="16"/>
    </row>
    <row r="10" spans="2:39" ht="13" hidden="1">
      <c r="B10" s="28">
        <v>42125</v>
      </c>
      <c r="C10" s="29">
        <v>47664.76</v>
      </c>
      <c r="D10" s="29">
        <v>6971.7000000000007</v>
      </c>
      <c r="E10" s="29">
        <v>105575.32</v>
      </c>
      <c r="F10" s="29">
        <v>26205.100000000006</v>
      </c>
      <c r="G10" s="30">
        <f>SUM(C10:F10)</f>
        <v>186416.88000000003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K10" s="16"/>
      <c r="AM10" s="16"/>
    </row>
    <row r="11" spans="2:39" ht="13" hidden="1">
      <c r="B11" s="28">
        <v>42156</v>
      </c>
      <c r="C11" s="29">
        <v>71416.569999999992</v>
      </c>
      <c r="D11" s="29">
        <v>11717.86</v>
      </c>
      <c r="E11" s="29">
        <v>84891.299999999988</v>
      </c>
      <c r="F11" s="29">
        <v>14948.849999999991</v>
      </c>
      <c r="G11" s="30">
        <f>SUM(C11:F11)</f>
        <v>182974.57999999996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K11" s="16"/>
      <c r="AM11" s="16"/>
    </row>
    <row r="12" spans="2:39" ht="13" hidden="1">
      <c r="B12" s="28">
        <v>42186</v>
      </c>
      <c r="C12" s="29">
        <v>73956.459999999992</v>
      </c>
      <c r="D12" s="29">
        <v>15865.169999999998</v>
      </c>
      <c r="E12" s="29">
        <v>110052.30000000002</v>
      </c>
      <c r="F12" s="29">
        <v>40412.239999999991</v>
      </c>
      <c r="G12" s="30">
        <f>SUM(C12:F12)</f>
        <v>240286.16999999998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K12" s="16"/>
      <c r="AM12" s="16"/>
    </row>
    <row r="13" spans="2:39" ht="13" hidden="1">
      <c r="B13" s="28">
        <v>42217</v>
      </c>
      <c r="C13" s="29">
        <v>49365.19</v>
      </c>
      <c r="D13" s="29">
        <v>8206.17</v>
      </c>
      <c r="E13" s="29">
        <v>75266.37</v>
      </c>
      <c r="F13" s="29">
        <v>20490.189999999995</v>
      </c>
      <c r="G13" s="30">
        <f>SUM(C13:F13)</f>
        <v>153327.91999999998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K13" s="16"/>
      <c r="AM13" s="16"/>
    </row>
    <row r="14" spans="2:39" ht="13" hidden="1">
      <c r="B14" s="28">
        <v>42248</v>
      </c>
      <c r="C14" s="29">
        <v>73594.01</v>
      </c>
      <c r="D14" s="29">
        <v>15090.5</v>
      </c>
      <c r="E14" s="29">
        <v>89830.290000000008</v>
      </c>
      <c r="F14" s="29">
        <v>22210.489999999991</v>
      </c>
      <c r="G14" s="30">
        <f>SUM(C14:F14)</f>
        <v>200725.28999999998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K14" s="16"/>
      <c r="AM14" s="16"/>
    </row>
    <row r="15" spans="2:39" ht="13" hidden="1">
      <c r="B15" s="28">
        <v>42278</v>
      </c>
      <c r="C15" s="29">
        <v>107074.47</v>
      </c>
      <c r="D15" s="29">
        <v>11694.57</v>
      </c>
      <c r="E15" s="29">
        <v>125053.12999999999</v>
      </c>
      <c r="F15" s="29">
        <v>81745.87000000001</v>
      </c>
      <c r="G15" s="30">
        <f>SUM(C15:F15)</f>
        <v>325568.04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K15" s="16"/>
      <c r="AM15" s="16"/>
    </row>
    <row r="16" spans="2:39" ht="13" hidden="1">
      <c r="B16" s="28">
        <v>42309</v>
      </c>
      <c r="C16" s="29">
        <v>70666.920000000013</v>
      </c>
      <c r="D16" s="29">
        <v>19155.7</v>
      </c>
      <c r="E16" s="29">
        <v>97119.340000000011</v>
      </c>
      <c r="F16" s="29">
        <v>40661.76999999999</v>
      </c>
      <c r="G16" s="30">
        <f>SUM(C16:F16)</f>
        <v>227603.73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K16" s="16"/>
      <c r="AM16" s="16"/>
    </row>
    <row r="17" spans="2:39" ht="13" hidden="1">
      <c r="B17" s="28">
        <v>42339</v>
      </c>
      <c r="C17" s="29">
        <v>69493.15</v>
      </c>
      <c r="D17" s="29">
        <v>12170.33</v>
      </c>
      <c r="E17" s="29">
        <v>75808.639999999985</v>
      </c>
      <c r="F17" s="29">
        <v>30482.680000000008</v>
      </c>
      <c r="G17" s="30">
        <f>SUM(C17:F17)</f>
        <v>187954.8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K17" s="16"/>
      <c r="AM17" s="16"/>
    </row>
    <row r="18" spans="2:39" ht="13" hidden="1">
      <c r="B18" s="28">
        <v>42370</v>
      </c>
      <c r="C18" s="29">
        <v>37874.86</v>
      </c>
      <c r="D18" s="29">
        <v>14201.779999999999</v>
      </c>
      <c r="E18" s="29">
        <v>103427.37</v>
      </c>
      <c r="F18" s="29">
        <v>53984.159999999989</v>
      </c>
      <c r="G18" s="30">
        <f>SUM(C18:F18)</f>
        <v>209488.16999999998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K18" s="16"/>
      <c r="AM18" s="16"/>
    </row>
    <row r="19" spans="2:39" ht="13" hidden="1">
      <c r="B19" s="28">
        <v>42401</v>
      </c>
      <c r="C19" s="29">
        <v>40348.94</v>
      </c>
      <c r="D19" s="29">
        <v>7477.33</v>
      </c>
      <c r="E19" s="29">
        <v>104945.95999999999</v>
      </c>
      <c r="F19" s="29">
        <v>32255.979999999996</v>
      </c>
      <c r="G19" s="30">
        <f>SUM(C19:F19)</f>
        <v>185028.20999999996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K19" s="16"/>
      <c r="AM19" s="16"/>
    </row>
    <row r="20" spans="2:39" ht="13" hidden="1">
      <c r="B20" s="28">
        <v>42430</v>
      </c>
      <c r="C20" s="29">
        <v>60265.169999999991</v>
      </c>
      <c r="D20" s="29">
        <v>13356.39</v>
      </c>
      <c r="E20" s="29">
        <v>87346.1</v>
      </c>
      <c r="F20" s="29">
        <v>50448.010000000009</v>
      </c>
      <c r="G20" s="30">
        <f>SUM(C20:F20)</f>
        <v>211415.67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K20" s="16"/>
      <c r="AM20" s="16"/>
    </row>
    <row r="21" spans="2:39" ht="13" hidden="1">
      <c r="B21" s="28">
        <v>42461</v>
      </c>
      <c r="C21" s="29">
        <v>55903.340000000004</v>
      </c>
      <c r="D21" s="29">
        <v>13019.779999999999</v>
      </c>
      <c r="E21" s="29">
        <v>95918.28</v>
      </c>
      <c r="F21" s="29">
        <v>13186.910000000003</v>
      </c>
      <c r="G21" s="30">
        <f>SUM(C21:F21)</f>
        <v>178028.31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K21" s="16"/>
      <c r="AM21" s="16"/>
    </row>
    <row r="22" spans="2:39" ht="13" hidden="1">
      <c r="B22" s="28">
        <v>42491</v>
      </c>
      <c r="C22" s="29">
        <v>60183.47</v>
      </c>
      <c r="D22" s="29">
        <v>10233.660000000002</v>
      </c>
      <c r="E22" s="29">
        <v>93406.06</v>
      </c>
      <c r="F22" s="29">
        <v>35007.739999999991</v>
      </c>
      <c r="G22" s="30">
        <f>SUM(C22:F22)</f>
        <v>198830.93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K22" s="16"/>
      <c r="AM22" s="16"/>
    </row>
    <row r="23" spans="2:39" ht="13" hidden="1">
      <c r="B23" s="28">
        <v>42522</v>
      </c>
      <c r="C23" s="29">
        <v>73258.040000000008</v>
      </c>
      <c r="D23" s="29">
        <v>11262.099999999999</v>
      </c>
      <c r="E23" s="29">
        <v>92175.800000000017</v>
      </c>
      <c r="F23" s="29">
        <v>32841.23000000001</v>
      </c>
      <c r="G23" s="30">
        <f>SUM(C23:F23)</f>
        <v>209537.17000000004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K23" s="16"/>
      <c r="AM23" s="16"/>
    </row>
    <row r="24" spans="2:39" ht="13" hidden="1">
      <c r="B24" s="28">
        <v>42552</v>
      </c>
      <c r="C24" s="29">
        <v>54844.51</v>
      </c>
      <c r="D24" s="29">
        <v>10796.119999999999</v>
      </c>
      <c r="E24" s="29">
        <v>93657.790000000008</v>
      </c>
      <c r="F24" s="29">
        <v>17357.030000000013</v>
      </c>
      <c r="G24" s="30">
        <f>SUM(C24:F24)</f>
        <v>176655.45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K24" s="16"/>
      <c r="AM24" s="16"/>
    </row>
    <row r="25" spans="2:39" ht="13" hidden="1">
      <c r="B25" s="28">
        <v>42583</v>
      </c>
      <c r="C25" s="29">
        <v>61932.070000000007</v>
      </c>
      <c r="D25" s="29">
        <v>10937.94</v>
      </c>
      <c r="E25" s="29">
        <v>89025.090000000011</v>
      </c>
      <c r="F25" s="29">
        <v>11696.439999999988</v>
      </c>
      <c r="G25" s="30">
        <f>SUM(C25:F25)</f>
        <v>173591.54000000004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K25" s="16"/>
      <c r="AM25" s="16"/>
    </row>
    <row r="26" spans="2:39" ht="13" hidden="1">
      <c r="B26" s="28">
        <v>42614</v>
      </c>
      <c r="C26" s="29">
        <v>51083.25</v>
      </c>
      <c r="D26" s="29">
        <v>7121.19</v>
      </c>
      <c r="E26" s="29">
        <v>73417.83</v>
      </c>
      <c r="F26" s="29">
        <v>16236.509999999987</v>
      </c>
      <c r="G26" s="30">
        <f>SUM(C26:F26)</f>
        <v>147858.78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K26" s="16"/>
      <c r="AM26" s="16"/>
    </row>
    <row r="27" spans="2:39" ht="13" hidden="1">
      <c r="B27" s="28">
        <v>42644</v>
      </c>
      <c r="C27" s="29">
        <v>55331.17</v>
      </c>
      <c r="D27" s="29">
        <v>11904.4</v>
      </c>
      <c r="E27" s="29">
        <v>109669.19</v>
      </c>
      <c r="F27" s="29">
        <v>24584.229999999996</v>
      </c>
      <c r="G27" s="30">
        <f>SUM(C27:F27)</f>
        <v>201488.99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K27" s="16"/>
      <c r="AM27" s="16"/>
    </row>
    <row r="28" spans="2:39" ht="13" hidden="1">
      <c r="B28" s="28">
        <v>42675</v>
      </c>
      <c r="C28" s="29">
        <v>63894.64</v>
      </c>
      <c r="D28" s="29">
        <v>19242.29</v>
      </c>
      <c r="E28" s="29">
        <v>92882.16</v>
      </c>
      <c r="F28" s="29">
        <v>38733.91</v>
      </c>
      <c r="G28" s="30">
        <f>SUM(C28:F28)</f>
        <v>214753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K28" s="16"/>
      <c r="AM28" s="16"/>
    </row>
    <row r="29" spans="2:39" ht="13" hidden="1">
      <c r="B29" s="28">
        <v>42705</v>
      </c>
      <c r="C29" s="29">
        <v>53096.52</v>
      </c>
      <c r="D29" s="29">
        <v>10712.07</v>
      </c>
      <c r="E29" s="29">
        <v>80572.200000000012</v>
      </c>
      <c r="F29" s="29">
        <v>24935.209999999992</v>
      </c>
      <c r="G29" s="30">
        <f>SUM(C29:F29)</f>
        <v>169316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K29" s="16"/>
      <c r="AM29" s="16"/>
    </row>
    <row r="30" spans="2:39" ht="13" hidden="1">
      <c r="B30" s="28">
        <v>42736</v>
      </c>
      <c r="C30" s="29">
        <v>59600.460000000006</v>
      </c>
      <c r="D30" s="29">
        <v>8113.12</v>
      </c>
      <c r="E30" s="29">
        <v>77909.010000000009</v>
      </c>
      <c r="F30" s="29">
        <v>36413.039999999994</v>
      </c>
      <c r="G30" s="30">
        <f>SUM(C30:F30)</f>
        <v>182035.63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K30" s="16"/>
      <c r="AM30" s="16"/>
    </row>
    <row r="31" spans="2:39" ht="13" hidden="1">
      <c r="B31" s="28">
        <v>42767</v>
      </c>
      <c r="C31" s="29">
        <v>38373.479999999996</v>
      </c>
      <c r="D31" s="29">
        <v>12968.46</v>
      </c>
      <c r="E31" s="29">
        <v>87801.48</v>
      </c>
      <c r="F31" s="29">
        <v>24832.48000000001</v>
      </c>
      <c r="G31" s="30">
        <f>SUM(C31:F31)</f>
        <v>163975.9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K31" s="16"/>
      <c r="AM31" s="16"/>
    </row>
    <row r="32" spans="2:39" ht="13" hidden="1">
      <c r="B32" s="28">
        <v>42795</v>
      </c>
      <c r="C32" s="29">
        <v>116756.19</v>
      </c>
      <c r="D32" s="29">
        <v>21463.730000000003</v>
      </c>
      <c r="E32" s="29">
        <v>105271.41</v>
      </c>
      <c r="F32" s="29">
        <v>112645.88999999998</v>
      </c>
      <c r="G32" s="30">
        <f>SUM(C32:F32)</f>
        <v>356137.22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K32" s="16"/>
      <c r="AM32" s="16"/>
    </row>
    <row r="33" spans="2:39" ht="13" hidden="1">
      <c r="B33" s="28">
        <v>42826</v>
      </c>
      <c r="C33" s="29">
        <v>45979.78</v>
      </c>
      <c r="D33" s="29">
        <v>9846.06</v>
      </c>
      <c r="E33" s="29">
        <v>81360.24</v>
      </c>
      <c r="F33" s="29">
        <v>6564.0399999999936</v>
      </c>
      <c r="G33" s="30">
        <f>SUM(C33:F33)</f>
        <v>143750.12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K33" s="16"/>
      <c r="AM33" s="16"/>
    </row>
    <row r="34" spans="2:39" ht="13" hidden="1">
      <c r="B34" s="28">
        <v>42856</v>
      </c>
      <c r="C34" s="29">
        <v>40540.7</v>
      </c>
      <c r="D34" s="29">
        <v>10829.49</v>
      </c>
      <c r="E34" s="29">
        <v>84479.85</v>
      </c>
      <c r="F34" s="29">
        <v>27850.190000000002</v>
      </c>
      <c r="G34" s="30">
        <f>SUM(C34:F34)</f>
        <v>163700.23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K34" s="16"/>
      <c r="AM34" s="16"/>
    </row>
    <row r="35" spans="2:39" ht="13" hidden="1">
      <c r="B35" s="28">
        <v>42887</v>
      </c>
      <c r="C35" s="29">
        <v>99623.979999999981</v>
      </c>
      <c r="D35" s="29">
        <v>25337.67</v>
      </c>
      <c r="E35" s="29">
        <v>117618.98999999999</v>
      </c>
      <c r="F35" s="29">
        <v>61617.41</v>
      </c>
      <c r="G35" s="30">
        <f>SUM(C35:F35)</f>
        <v>304198.04999999993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K35" s="16"/>
      <c r="AM35" s="16"/>
    </row>
    <row r="36" spans="2:39" ht="13" hidden="1">
      <c r="B36" s="28">
        <v>42917</v>
      </c>
      <c r="C36" s="29">
        <v>35421.34</v>
      </c>
      <c r="D36" s="29">
        <v>6329.98</v>
      </c>
      <c r="E36" s="29">
        <v>71006.11</v>
      </c>
      <c r="F36" s="29">
        <v>4202.1699999999983</v>
      </c>
      <c r="G36" s="30">
        <f>SUM(C36:F36)</f>
        <v>116959.59999999999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K36" s="16"/>
      <c r="AM36" s="16"/>
    </row>
    <row r="37" spans="2:40" ht="13" hidden="1">
      <c r="B37" s="28">
        <v>42948</v>
      </c>
      <c r="C37" s="29">
        <v>52339.190458297729</v>
      </c>
      <c r="D37" s="29">
        <v>38259.45013183594</v>
      </c>
      <c r="E37" s="29">
        <v>44846.529107856753</v>
      </c>
      <c r="F37" s="29">
        <v>19888.739987373352</v>
      </c>
      <c r="G37" s="30">
        <f>SUM(C37:F37)</f>
        <v>155333.90968536376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L37" s="16"/>
      <c r="AN37" s="16"/>
    </row>
    <row r="38" spans="2:40" ht="13" hidden="1">
      <c r="B38" s="28">
        <v>42979</v>
      </c>
      <c r="C38" s="29">
        <v>56155.530090332046</v>
      </c>
      <c r="D38" s="29">
        <v>8495.019985351566</v>
      </c>
      <c r="E38" s="29">
        <v>91912.97081005096</v>
      </c>
      <c r="F38" s="29">
        <v>31574.379827499404</v>
      </c>
      <c r="G38" s="30">
        <f>SUM(C38:F38)</f>
        <v>188137.90071323398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L38" s="16"/>
      <c r="AN38" s="16"/>
    </row>
    <row r="39" spans="2:40" ht="13" hidden="1">
      <c r="B39" s="28">
        <v>43009</v>
      </c>
      <c r="C39" s="29">
        <v>73672.24953125</v>
      </c>
      <c r="D39" s="29">
        <v>22982.980449218758</v>
      </c>
      <c r="E39" s="29">
        <v>126176.02006027223</v>
      </c>
      <c r="F39" s="29">
        <v>52128.940393447847</v>
      </c>
      <c r="G39" s="30">
        <f>SUM(C39:F39)</f>
        <v>274960.19043418881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L39" s="16"/>
      <c r="AN39" s="16"/>
    </row>
    <row r="40" spans="2:40" ht="13" hidden="1">
      <c r="B40" s="28">
        <v>43040</v>
      </c>
      <c r="C40" s="29">
        <v>60166.669903564456</v>
      </c>
      <c r="D40" s="29">
        <v>12477.009884033203</v>
      </c>
      <c r="E40" s="29">
        <v>102338.04021255494</v>
      </c>
      <c r="F40" s="29">
        <v>46992.659680366531</v>
      </c>
      <c r="G40" s="30">
        <f>SUM(C40:F40)</f>
        <v>221974.37968051911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L40" s="16"/>
      <c r="AN40" s="16"/>
    </row>
    <row r="41" spans="2:40" ht="13" hidden="1">
      <c r="B41" s="28">
        <v>43070</v>
      </c>
      <c r="C41" s="29">
        <v>55576.009782714842</v>
      </c>
      <c r="D41" s="29">
        <v>7511.02001586914</v>
      </c>
      <c r="E41" s="29">
        <v>64911.239143066414</v>
      </c>
      <c r="F41" s="29">
        <v>18278.6103591919</v>
      </c>
      <c r="G41" s="30">
        <f>SUM(C41:F41)</f>
        <v>146276.87930084229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L41" s="16"/>
      <c r="AN41" s="16"/>
    </row>
    <row r="42" spans="2:40" ht="13" hidden="1">
      <c r="B42" s="28">
        <v>43101</v>
      </c>
      <c r="C42" s="29">
        <v>32019.180154724127</v>
      </c>
      <c r="D42" s="29">
        <v>7270.4600448608362</v>
      </c>
      <c r="E42" s="29">
        <v>70504.779953079225</v>
      </c>
      <c r="F42" s="29">
        <v>38184.5405302048</v>
      </c>
      <c r="G42" s="30">
        <f>SUM(C42:F42)</f>
        <v>147978.960682869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L42" s="16"/>
      <c r="AN42" s="16"/>
    </row>
    <row r="43" spans="2:40" ht="13" hidden="1">
      <c r="B43" s="28">
        <v>43132</v>
      </c>
      <c r="C43" s="29">
        <v>54271.519952392584</v>
      </c>
      <c r="D43" s="29">
        <v>6444.599987182617</v>
      </c>
      <c r="E43" s="29">
        <v>89290.809346923837</v>
      </c>
      <c r="F43" s="29">
        <v>29596.670525074027</v>
      </c>
      <c r="G43" s="30">
        <f>SUM(C43:F43)</f>
        <v>179603.59981157308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L43" s="16"/>
      <c r="AN43" s="16"/>
    </row>
    <row r="44" spans="2:40" ht="13" hidden="1">
      <c r="B44" s="28">
        <v>43160</v>
      </c>
      <c r="C44" s="29">
        <v>78073.41923248292</v>
      </c>
      <c r="D44" s="29">
        <v>15237.979988403327</v>
      </c>
      <c r="E44" s="29">
        <v>104821.97935283661</v>
      </c>
      <c r="F44" s="29">
        <v>24379.569637298569</v>
      </c>
      <c r="G44" s="30">
        <f>SUM(C44:F44)</f>
        <v>222512.94821102143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L44" s="16"/>
      <c r="AN44" s="16"/>
    </row>
    <row r="45" spans="2:40" ht="13" hidden="1">
      <c r="B45" s="28">
        <v>43191</v>
      </c>
      <c r="C45" s="29">
        <v>41888.690241699216</v>
      </c>
      <c r="D45" s="29">
        <v>8494.3199826049822</v>
      </c>
      <c r="E45" s="29">
        <v>91290.449724578852</v>
      </c>
      <c r="F45" s="29">
        <v>36343.67911100389</v>
      </c>
      <c r="G45" s="30">
        <f>SUM(C45:F45)</f>
        <v>178017.13905988692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L45" s="16"/>
      <c r="AN45" s="16"/>
    </row>
    <row r="46" spans="2:40" ht="13" hidden="1">
      <c r="B46" s="28">
        <v>43221</v>
      </c>
      <c r="C46" s="29">
        <v>38103.450241699218</v>
      </c>
      <c r="D46" s="29">
        <v>8183.6499826049812</v>
      </c>
      <c r="E46" s="29">
        <v>123593.56972457885</v>
      </c>
      <c r="F46" s="29">
        <v>36343.67911100389</v>
      </c>
      <c r="G46" s="30">
        <f>SUM(C46:F46)</f>
        <v>206224.34905988694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L46" s="16"/>
      <c r="AN46" s="16"/>
    </row>
    <row r="47" spans="2:40" ht="13" hidden="1">
      <c r="B47" s="28">
        <v>43252</v>
      </c>
      <c r="C47" s="29">
        <v>51631.700241699218</v>
      </c>
      <c r="D47" s="29">
        <v>8401.48998260498</v>
      </c>
      <c r="E47" s="29">
        <v>86668.519724578859</v>
      </c>
      <c r="F47" s="29">
        <v>36343.67911100389</v>
      </c>
      <c r="G47" s="30">
        <f>SUM(C47:F47)</f>
        <v>183045.38905988692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L47" s="16"/>
      <c r="AN47" s="16"/>
    </row>
    <row r="48" spans="2:40" ht="13" hidden="1">
      <c r="B48" s="28">
        <v>43282</v>
      </c>
      <c r="C48" s="29">
        <v>70284.089999999982</v>
      </c>
      <c r="D48" s="29">
        <v>7631.08</v>
      </c>
      <c r="E48" s="29">
        <v>82501.739999999991</v>
      </c>
      <c r="F48" s="29">
        <v>36343.679059886941</v>
      </c>
      <c r="G48" s="30">
        <f>SUM(C48:F48)</f>
        <v>196760.58905988693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L48" s="16"/>
      <c r="AN48" s="16"/>
    </row>
    <row r="49" spans="2:40" ht="13" hidden="1">
      <c r="B49" s="28">
        <v>43313</v>
      </c>
      <c r="C49" s="29">
        <v>59418.260000000009</v>
      </c>
      <c r="D49" s="29">
        <v>7853.49</v>
      </c>
      <c r="E49" s="29">
        <v>86651.28</v>
      </c>
      <c r="F49" s="29">
        <v>36343.679059886941</v>
      </c>
      <c r="G49" s="30">
        <f>SUM(C49:F49)</f>
        <v>190266.70905988698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L49" s="16"/>
      <c r="AN49" s="16"/>
    </row>
    <row r="50" spans="2:40" ht="13" hidden="1">
      <c r="B50" s="28">
        <v>43344</v>
      </c>
      <c r="C50" s="29">
        <v>42064.729999999996</v>
      </c>
      <c r="D50" s="29">
        <v>7888.49</v>
      </c>
      <c r="E50" s="29">
        <v>112487.40000000001</v>
      </c>
      <c r="F50" s="29">
        <v>36343.679059886941</v>
      </c>
      <c r="G50" s="30">
        <f>SUM(C50:F50)</f>
        <v>198784.29905988695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L50" s="16"/>
      <c r="AN50" s="16"/>
    </row>
    <row r="51" spans="2:40" ht="13" hidden="1">
      <c r="B51" s="28">
        <v>43374</v>
      </c>
      <c r="C51" s="29">
        <v>69230.56</v>
      </c>
      <c r="D51" s="29">
        <v>15726.51</v>
      </c>
      <c r="E51" s="29">
        <v>140689.08000000002</v>
      </c>
      <c r="F51" s="29">
        <v>26899.72</v>
      </c>
      <c r="G51" s="30">
        <f>SUM(C51:F51)</f>
        <v>252545.87000000002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L51" s="16"/>
      <c r="AN51" s="16"/>
    </row>
    <row r="52" spans="2:40" ht="13" hidden="1">
      <c r="B52" s="28">
        <v>43405</v>
      </c>
      <c r="C52" s="29">
        <v>75182.69</v>
      </c>
      <c r="D52" s="29">
        <v>27864.510000000002</v>
      </c>
      <c r="E52" s="29">
        <v>135108.06</v>
      </c>
      <c r="F52" s="29">
        <v>36752.959999999948</v>
      </c>
      <c r="G52" s="30">
        <f>SUM(C52:F52)</f>
        <v>274908.22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L52" s="16"/>
      <c r="AN52" s="16"/>
    </row>
    <row r="53" spans="2:40" ht="13" hidden="1">
      <c r="B53" s="28">
        <v>43435</v>
      </c>
      <c r="C53" s="29">
        <v>58732.83</v>
      </c>
      <c r="D53" s="29">
        <v>22993.95</v>
      </c>
      <c r="E53" s="29">
        <v>118445.04000000001</v>
      </c>
      <c r="F53" s="29">
        <v>20632.170000000013</v>
      </c>
      <c r="G53" s="30">
        <f>SUM(C53:F53)</f>
        <v>220803.99000000002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L53" s="16"/>
      <c r="AN53" s="16"/>
    </row>
    <row r="54" spans="2:40" ht="13" hidden="1">
      <c r="B54" s="28">
        <v>43466</v>
      </c>
      <c r="C54" s="29">
        <v>76217.66</v>
      </c>
      <c r="D54" s="29">
        <v>18398.27</v>
      </c>
      <c r="E54" s="29">
        <v>69125.85</v>
      </c>
      <c r="F54" s="29">
        <v>59957.729999999981</v>
      </c>
      <c r="G54" s="30">
        <f>SUM(C54:F54)</f>
        <v>223699.51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L54" s="16"/>
      <c r="AN54" s="16"/>
    </row>
    <row r="55" spans="2:40" ht="13" hidden="1">
      <c r="B55" s="28">
        <v>43497</v>
      </c>
      <c r="C55" s="29">
        <v>67922.22</v>
      </c>
      <c r="D55" s="29">
        <v>17900.809999999998</v>
      </c>
      <c r="E55" s="29">
        <v>105199.17</v>
      </c>
      <c r="F55" s="29">
        <v>43024.33</v>
      </c>
      <c r="G55" s="30">
        <f>SUM(C55:F55)</f>
        <v>234046.53000000003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L55" s="16"/>
      <c r="AN55" s="16"/>
    </row>
    <row r="56" spans="2:40" ht="13" hidden="1">
      <c r="B56" s="28">
        <v>43525</v>
      </c>
      <c r="C56" s="29">
        <v>98208.64</v>
      </c>
      <c r="D56" s="29">
        <v>21254.89</v>
      </c>
      <c r="E56" s="29">
        <v>210239.94</v>
      </c>
      <c r="F56" s="29">
        <v>74168.860000000015</v>
      </c>
      <c r="G56" s="30">
        <f>SUM(C56:F56)</f>
        <v>403872.32999999996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L56" s="16"/>
      <c r="AN56" s="16"/>
    </row>
    <row r="57" spans="2:40" ht="13" hidden="1">
      <c r="B57" s="28">
        <v>43556</v>
      </c>
      <c r="C57" s="29">
        <v>68575.909999999916</v>
      </c>
      <c r="D57" s="29">
        <v>22735.095000000125</v>
      </c>
      <c r="E57" s="29">
        <v>111896.34375000003</v>
      </c>
      <c r="F57" s="29">
        <v>44286.236249999842</v>
      </c>
      <c r="G57" s="30">
        <f>SUM(C57:F57)</f>
        <v>247493.5849999999</v>
      </c>
      <c r="H57" s="2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L57" s="16"/>
      <c r="AN57" s="16"/>
    </row>
    <row r="58" spans="2:40" ht="13" hidden="1">
      <c r="B58" s="28">
        <v>43586</v>
      </c>
      <c r="C58" s="29">
        <v>66594.839999999851</v>
      </c>
      <c r="D58" s="29">
        <v>23961.135000000126</v>
      </c>
      <c r="E58" s="29">
        <v>108820.75375000003</v>
      </c>
      <c r="F58" s="29">
        <v>44286.236249999842</v>
      </c>
      <c r="G58" s="30">
        <f>SUM(C58:F58)</f>
        <v>243662.96499999985</v>
      </c>
      <c r="H58" s="2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L58" s="16"/>
      <c r="AN58" s="16"/>
    </row>
    <row r="59" spans="2:40" ht="13" hidden="1">
      <c r="B59" s="28">
        <v>43617</v>
      </c>
      <c r="C59" s="29">
        <v>75852.039999999892</v>
      </c>
      <c r="D59" s="29">
        <v>23963.735000000124</v>
      </c>
      <c r="E59" s="29">
        <v>115167.79375000001</v>
      </c>
      <c r="F59" s="29">
        <v>44286.236249999842</v>
      </c>
      <c r="G59" s="30">
        <f>SUM(C59:F59)</f>
        <v>259269.80499999988</v>
      </c>
      <c r="H59" s="2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L59" s="16"/>
      <c r="AN59" s="16"/>
    </row>
    <row r="60" spans="2:40" ht="13" hidden="1">
      <c r="B60" s="28">
        <v>43647</v>
      </c>
      <c r="C60" s="29">
        <v>105799.12999999989</v>
      </c>
      <c r="D60" s="29">
        <v>22735.095000000125</v>
      </c>
      <c r="E60" s="29">
        <v>146564.99375000002</v>
      </c>
      <c r="F60" s="29">
        <v>44286.236249999842</v>
      </c>
      <c r="G60" s="30">
        <f>SUM(C60:F60)</f>
        <v>319385.45499999984</v>
      </c>
      <c r="H60" s="2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L60" s="16"/>
      <c r="AN60" s="16"/>
    </row>
    <row r="61" spans="2:40" ht="13" hidden="1">
      <c r="B61" s="28">
        <v>43678</v>
      </c>
      <c r="C61" s="29">
        <v>56711.6899999999</v>
      </c>
      <c r="D61" s="29">
        <v>22792.515000000123</v>
      </c>
      <c r="E61" s="29">
        <v>91341.58375000002</v>
      </c>
      <c r="F61" s="29">
        <v>44286.236249999842</v>
      </c>
      <c r="G61" s="30">
        <f>SUM(C61:F61)</f>
        <v>215132.02499999988</v>
      </c>
      <c r="H61" s="2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L61" s="16"/>
      <c r="AN61" s="16"/>
    </row>
    <row r="62" spans="2:40" ht="13" hidden="1">
      <c r="B62" s="28">
        <v>43709</v>
      </c>
      <c r="C62" s="29">
        <v>66060.369999999908</v>
      </c>
      <c r="D62" s="29">
        <v>23177.595000000125</v>
      </c>
      <c r="E62" s="29">
        <v>108964.47375</v>
      </c>
      <c r="F62" s="29">
        <v>44286.236249999842</v>
      </c>
      <c r="G62" s="30">
        <f>SUM(C62:F62)</f>
        <v>242488.67499999987</v>
      </c>
      <c r="H62" s="2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L62" s="16"/>
      <c r="AN62" s="16"/>
    </row>
    <row r="63" spans="2:40" ht="13" hidden="1">
      <c r="B63" s="28">
        <v>43739</v>
      </c>
      <c r="C63" s="29">
        <v>83770.489999999845</v>
      </c>
      <c r="D63" s="29">
        <v>22735.095000000125</v>
      </c>
      <c r="E63" s="29">
        <v>116920.64375000002</v>
      </c>
      <c r="F63" s="29">
        <v>44286.236249999842</v>
      </c>
      <c r="G63" s="30">
        <f>SUM(C63:F63)</f>
        <v>267712.46499999985</v>
      </c>
      <c r="H63" s="2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L63" s="16"/>
      <c r="AN63" s="16"/>
    </row>
    <row r="64" spans="2:40" ht="13" hidden="1">
      <c r="B64" s="28">
        <v>43770</v>
      </c>
      <c r="C64" s="29">
        <v>67744.599999999831</v>
      </c>
      <c r="D64" s="29">
        <v>22739.595000000125</v>
      </c>
      <c r="E64" s="29">
        <v>100768.78375</v>
      </c>
      <c r="F64" s="29">
        <v>44286.236249999842</v>
      </c>
      <c r="G64" s="30">
        <f>SUM(C64:F64)</f>
        <v>235539.21499999979</v>
      </c>
      <c r="H64" s="2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L64" s="16"/>
      <c r="AN64" s="16"/>
    </row>
    <row r="65" spans="2:40" ht="13" hidden="1">
      <c r="B65" s="28">
        <v>43800</v>
      </c>
      <c r="C65" s="29">
        <v>60431.489999999918</v>
      </c>
      <c r="D65" s="29">
        <v>22972.595000000125</v>
      </c>
      <c r="E65" s="29">
        <v>101626.89375000002</v>
      </c>
      <c r="F65" s="29">
        <v>44286.236249999842</v>
      </c>
      <c r="G65" s="30">
        <f>SUM(C65:F65)</f>
        <v>229317.21499999991</v>
      </c>
      <c r="H65" s="2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L65" s="16"/>
      <c r="AN65" s="16"/>
    </row>
    <row r="66" spans="2:40" ht="13" hidden="1">
      <c r="B66" s="28">
        <v>43831</v>
      </c>
      <c r="C66" s="29">
        <v>44464.969999999958</v>
      </c>
      <c r="D66" s="29">
        <v>26068.665000000125</v>
      </c>
      <c r="E66" s="29">
        <v>101746.15375000006</v>
      </c>
      <c r="F66" s="29">
        <v>44286.236249999842</v>
      </c>
      <c r="G66" s="30">
        <f>SUM(C66:F66)</f>
        <v>216566.02499999997</v>
      </c>
      <c r="H66" s="2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L66" s="16"/>
      <c r="AN66" s="16"/>
    </row>
    <row r="67" spans="2:40" ht="13" hidden="1">
      <c r="B67" s="28">
        <v>43862</v>
      </c>
      <c r="C67" s="29">
        <v>65439.9099999999</v>
      </c>
      <c r="D67" s="29">
        <v>23698.655000000126</v>
      </c>
      <c r="E67" s="29">
        <v>103551.28375000003</v>
      </c>
      <c r="F67" s="29">
        <v>44286.236249999842</v>
      </c>
      <c r="G67" s="30">
        <f>SUM(C67:F67)</f>
        <v>236976.0849999999</v>
      </c>
      <c r="H67" s="2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L67" s="16"/>
      <c r="AN67" s="16"/>
    </row>
    <row r="68" spans="2:40" ht="13" hidden="1">
      <c r="B68" s="28">
        <v>43891</v>
      </c>
      <c r="C68" s="29">
        <v>59552.349999999889</v>
      </c>
      <c r="D68" s="29">
        <v>814.02</v>
      </c>
      <c r="E68" s="29">
        <v>29224.350000000002</v>
      </c>
      <c r="F68" s="29">
        <v>21744.11999999997</v>
      </c>
      <c r="G68" s="30">
        <f>SUM(C68:F68)</f>
        <v>111334.83999999985</v>
      </c>
      <c r="H68" s="2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L68" s="16"/>
      <c r="AN68" s="16"/>
    </row>
    <row r="69" spans="2:40" ht="13" hidden="1">
      <c r="B69" s="28">
        <v>43922</v>
      </c>
      <c r="C69" s="29">
        <v>18470.629999999994</v>
      </c>
      <c r="D69" s="29">
        <v>0</v>
      </c>
      <c r="E69" s="29">
        <v>367.6</v>
      </c>
      <c r="F69" s="29">
        <v>0</v>
      </c>
      <c r="G69" s="30">
        <f>SUM(C69:F69)</f>
        <v>18838.229999999992</v>
      </c>
      <c r="H69" s="2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L69" s="16"/>
      <c r="AN69" s="16"/>
    </row>
    <row r="70" spans="2:40" ht="13" hidden="1">
      <c r="B70" s="28">
        <v>43952</v>
      </c>
      <c r="C70" s="29">
        <v>9446.82</v>
      </c>
      <c r="D70" s="29">
        <v>0</v>
      </c>
      <c r="E70" s="29">
        <v>7462.43</v>
      </c>
      <c r="F70" s="29">
        <v>576.66000000000008</v>
      </c>
      <c r="G70" s="30">
        <f>SUM(C70:F70)</f>
        <v>17485.91</v>
      </c>
      <c r="H70" s="2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L70" s="16"/>
      <c r="AN70" s="16"/>
    </row>
    <row r="71" spans="2:40" ht="13" hidden="1">
      <c r="B71" s="28">
        <v>43983</v>
      </c>
      <c r="C71" s="29">
        <v>10381.220000000001</v>
      </c>
      <c r="D71" s="29">
        <v>0</v>
      </c>
      <c r="E71" s="29">
        <v>2447.0199999999995</v>
      </c>
      <c r="F71" s="29">
        <v>0</v>
      </c>
      <c r="G71" s="30">
        <f>SUM(C71:F71)</f>
        <v>12828.240000000002</v>
      </c>
      <c r="H71" s="2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L71" s="16"/>
      <c r="AN71" s="16"/>
    </row>
    <row r="72" spans="2:40" ht="13" hidden="1">
      <c r="B72" s="28">
        <v>44013</v>
      </c>
      <c r="C72" s="29">
        <v>3763.3300000000004</v>
      </c>
      <c r="D72" s="29">
        <v>0</v>
      </c>
      <c r="E72" s="29">
        <v>1728.46</v>
      </c>
      <c r="F72" s="29">
        <v>0</v>
      </c>
      <c r="G72" s="30">
        <f>SUM(C72:F72)</f>
        <v>5491.7900000000009</v>
      </c>
      <c r="H72" s="2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L72" s="16"/>
      <c r="AN72" s="16"/>
    </row>
    <row r="73" spans="2:41" ht="13" hidden="1">
      <c r="B73" s="28">
        <v>44044</v>
      </c>
      <c r="C73" s="29">
        <v>26904.10999999999</v>
      </c>
      <c r="D73" s="29">
        <v>2695.38</v>
      </c>
      <c r="E73" s="29">
        <v>18944.579999999994</v>
      </c>
      <c r="F73" s="29">
        <v>2293.3400000000511</v>
      </c>
      <c r="G73" s="30">
        <f>SUM(C73:F73)</f>
        <v>50837.410000000033</v>
      </c>
      <c r="H73" s="2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M73" s="16"/>
      <c r="AO73" s="16"/>
    </row>
    <row r="74" spans="2:41" ht="13" hidden="1">
      <c r="B74" s="28">
        <v>44075</v>
      </c>
      <c r="C74" s="29">
        <v>31680.779999999955</v>
      </c>
      <c r="D74" s="29">
        <v>7151.4499999999944</v>
      </c>
      <c r="E74" s="29">
        <v>22356.629999999997</v>
      </c>
      <c r="F74" s="29">
        <v>3795.3200000000761</v>
      </c>
      <c r="G74" s="30">
        <f>SUM(C74:F74)</f>
        <v>64984.180000000022</v>
      </c>
      <c r="H74" s="2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M74" s="16"/>
      <c r="AO74" s="16"/>
    </row>
    <row r="75" spans="2:41" ht="13" hidden="1">
      <c r="B75" s="28">
        <v>44105</v>
      </c>
      <c r="C75" s="29">
        <v>25971.899999999976</v>
      </c>
      <c r="D75" s="29">
        <v>6361.3599999999988</v>
      </c>
      <c r="E75" s="29">
        <v>26680.730000000018</v>
      </c>
      <c r="F75" s="29">
        <v>2869.4600000000391</v>
      </c>
      <c r="G75" s="30">
        <f>SUM(C75:F75)</f>
        <v>61883.450000000026</v>
      </c>
      <c r="H75" s="2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M75" s="16"/>
      <c r="AO75" s="16"/>
    </row>
    <row r="76" spans="2:41" ht="13" hidden="1">
      <c r="B76" s="28">
        <v>44136</v>
      </c>
      <c r="C76" s="29">
        <v>24621.72</v>
      </c>
      <c r="D76" s="29">
        <v>6392.1299999999919</v>
      </c>
      <c r="E76" s="29">
        <v>23095.51</v>
      </c>
      <c r="F76" s="29">
        <v>3878.200000000048</v>
      </c>
      <c r="G76" s="30">
        <f>SUM(C76:F76)</f>
        <v>57987.560000000034</v>
      </c>
      <c r="H76" s="2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M76" s="16"/>
      <c r="AO76" s="16"/>
    </row>
    <row r="77" spans="2:41" ht="13" hidden="1">
      <c r="B77" s="28">
        <v>44166</v>
      </c>
      <c r="C77" s="29">
        <v>4028.9300000000003</v>
      </c>
      <c r="D77" s="29">
        <v>2062.6299999999997</v>
      </c>
      <c r="E77" s="29">
        <v>20421.3</v>
      </c>
      <c r="F77" s="29">
        <v>12999.319999999982</v>
      </c>
      <c r="G77" s="30">
        <f>SUM(C77:F77)</f>
        <v>39512.179999999978</v>
      </c>
      <c r="H77" s="2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M77" s="16"/>
      <c r="AO77" s="16"/>
    </row>
    <row r="78" spans="2:41" ht="13" hidden="1">
      <c r="B78" s="28">
        <v>44197</v>
      </c>
      <c r="C78" s="29">
        <v>3253.8800000000006</v>
      </c>
      <c r="D78" s="29">
        <v>1174.09</v>
      </c>
      <c r="E78" s="29">
        <v>15685.889999999998</v>
      </c>
      <c r="F78" s="29">
        <v>18221.160000000018</v>
      </c>
      <c r="G78" s="30">
        <f>SUM(C78:F78)</f>
        <v>38335.020000000019</v>
      </c>
      <c r="H78" s="2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M78" s="16"/>
      <c r="AO78" s="16"/>
    </row>
    <row r="79" spans="2:41" ht="13" hidden="1">
      <c r="B79" s="28">
        <v>44228</v>
      </c>
      <c r="C79" s="29">
        <v>5221.7400000000007</v>
      </c>
      <c r="D79" s="29">
        <v>10</v>
      </c>
      <c r="E79" s="29">
        <v>17952.440000000006</v>
      </c>
      <c r="F79" s="29">
        <v>11878.970000000023</v>
      </c>
      <c r="G79" s="30">
        <f>SUM(C79:F79)</f>
        <v>35063.150000000031</v>
      </c>
      <c r="H79" s="2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M79" s="16"/>
      <c r="AO79" s="16"/>
    </row>
    <row r="80" spans="2:41" ht="13" hidden="1">
      <c r="B80" s="28">
        <v>44256</v>
      </c>
      <c r="C80" s="29">
        <v>22016.009999999991</v>
      </c>
      <c r="D80" s="29">
        <v>1944.9200000000005</v>
      </c>
      <c r="E80" s="29">
        <v>23463.35</v>
      </c>
      <c r="F80" s="29">
        <v>11404.750000000065</v>
      </c>
      <c r="G80" s="30">
        <f>SUM(C80:F80)</f>
        <v>58829.030000000057</v>
      </c>
      <c r="H80" s="2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M80" s="16"/>
      <c r="AO80" s="16"/>
    </row>
    <row r="81" spans="2:41" ht="13" hidden="1">
      <c r="B81" s="28">
        <v>44287</v>
      </c>
      <c r="C81" s="29">
        <v>46796.870000000032</v>
      </c>
      <c r="D81" s="29">
        <v>4628.69</v>
      </c>
      <c r="E81" s="29">
        <v>24371.78</v>
      </c>
      <c r="F81" s="29">
        <v>5849.5400000000227</v>
      </c>
      <c r="G81" s="30">
        <f>SUM(C81:F81)</f>
        <v>81646.880000000048</v>
      </c>
      <c r="H81" s="2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M81" s="16"/>
      <c r="AO81" s="16"/>
    </row>
    <row r="82" spans="2:42" ht="13" hidden="1">
      <c r="B82" s="28">
        <v>44317</v>
      </c>
      <c r="C82" s="29">
        <v>27805.629999999986</v>
      </c>
      <c r="D82" s="29">
        <v>5428.6099999999979</v>
      </c>
      <c r="E82" s="29">
        <v>28424.750000000007</v>
      </c>
      <c r="F82" s="29">
        <v>3884.8000000000029</v>
      </c>
      <c r="G82" s="30">
        <f>SUM(C82:F82)</f>
        <v>65543.79</v>
      </c>
      <c r="AP82" s="17"/>
    </row>
    <row r="83" spans="2:42" ht="13" hidden="1">
      <c r="B83" s="28">
        <v>44348</v>
      </c>
      <c r="C83" s="29">
        <v>10181.54</v>
      </c>
      <c r="D83" s="29">
        <v>4106.1500000000015</v>
      </c>
      <c r="E83" s="29">
        <v>28108.290000000012</v>
      </c>
      <c r="F83" s="29">
        <v>2925.239999999998</v>
      </c>
      <c r="G83" s="30">
        <f>SUM(C83:F83)</f>
        <v>45321.220000000008</v>
      </c>
      <c r="AP83" s="17"/>
    </row>
    <row r="84" spans="2:42" ht="13" hidden="1">
      <c r="B84" s="28">
        <v>44378</v>
      </c>
      <c r="C84" s="29">
        <v>23218.679999999975</v>
      </c>
      <c r="D84" s="29">
        <v>4566.64</v>
      </c>
      <c r="E84" s="29">
        <v>26991.92000000002</v>
      </c>
      <c r="F84" s="29">
        <v>3553.7999999999738</v>
      </c>
      <c r="G84" s="30">
        <f>SUM(C84:F84)</f>
        <v>58331.039999999964</v>
      </c>
      <c r="AP84" s="17"/>
    </row>
    <row r="85" spans="2:42" ht="13" hidden="1">
      <c r="B85" s="28">
        <v>44409</v>
      </c>
      <c r="C85" s="29">
        <v>21419.769999999982</v>
      </c>
      <c r="D85" s="29">
        <v>3590.5399999999995</v>
      </c>
      <c r="E85" s="29">
        <v>38426.23000000001</v>
      </c>
      <c r="F85" s="29">
        <v>2955.7399999999761</v>
      </c>
      <c r="G85" s="30">
        <f>SUM(C85:F85)</f>
        <v>66392.27999999997</v>
      </c>
      <c r="AP85" s="17"/>
    </row>
    <row r="86" spans="2:42" ht="13" hidden="1">
      <c r="B86" s="28">
        <v>44440</v>
      </c>
      <c r="C86" s="29">
        <v>29202.97999999996</v>
      </c>
      <c r="D86" s="29">
        <v>3614.54</v>
      </c>
      <c r="E86" s="29">
        <v>46995.209999999992</v>
      </c>
      <c r="F86" s="29">
        <v>2715.2500000000073</v>
      </c>
      <c r="G86" s="30">
        <f>SUM(C86:F86)</f>
        <v>82527.979999999952</v>
      </c>
      <c r="AP86" s="17"/>
    </row>
    <row r="87" spans="2:42" ht="13" hidden="1">
      <c r="B87" s="28">
        <v>44470</v>
      </c>
      <c r="C87" s="29">
        <v>51848.749999999913</v>
      </c>
      <c r="D87" s="29">
        <v>8808.9899999999943</v>
      </c>
      <c r="E87" s="29">
        <v>59723.840000000018</v>
      </c>
      <c r="F87" s="29">
        <v>2949.5699999999852</v>
      </c>
      <c r="G87" s="30">
        <f>SUM(C87:F87)</f>
        <v>123331.14999999991</v>
      </c>
      <c r="AP87" s="17"/>
    </row>
    <row r="88" spans="2:42" ht="13" hidden="1">
      <c r="B88" s="28">
        <v>44501</v>
      </c>
      <c r="C88" s="29">
        <v>44228.249999999905</v>
      </c>
      <c r="D88" s="29">
        <v>9884.8999999999942</v>
      </c>
      <c r="E88" s="29">
        <v>79437.460000000021</v>
      </c>
      <c r="F88" s="29">
        <v>6362.7199999999939</v>
      </c>
      <c r="G88" s="30">
        <f>SUM(C88:F88)</f>
        <v>139913.32999999993</v>
      </c>
      <c r="AP88" s="17"/>
    </row>
    <row r="89" spans="2:42" ht="13" hidden="1">
      <c r="B89" s="28">
        <v>44531</v>
      </c>
      <c r="C89" s="29">
        <v>23684.309999999954</v>
      </c>
      <c r="D89" s="29">
        <v>8678.34</v>
      </c>
      <c r="E89" s="29">
        <v>42760.250000000007</v>
      </c>
      <c r="F89" s="29">
        <v>9536.4799999999232</v>
      </c>
      <c r="G89" s="30">
        <f>SUM(C89:F89)</f>
        <v>84659.379999999888</v>
      </c>
      <c r="AP89" s="17"/>
    </row>
    <row r="90" spans="2:42" ht="13" hidden="1">
      <c r="B90" s="28">
        <v>44562</v>
      </c>
      <c r="C90" s="29">
        <v>17681.599999999991</v>
      </c>
      <c r="D90" s="29">
        <v>3342.4400000000005</v>
      </c>
      <c r="E90" s="29">
        <v>32284.350000000002</v>
      </c>
      <c r="F90" s="29">
        <v>20643.66</v>
      </c>
      <c r="G90" s="30">
        <f>SUM(C90:F90)</f>
        <v>73952.05</v>
      </c>
      <c r="AP90" s="17"/>
    </row>
    <row r="91" spans="2:42" ht="13" hidden="1">
      <c r="B91" s="28">
        <v>44593</v>
      </c>
      <c r="C91" s="29">
        <v>61972.079999999914</v>
      </c>
      <c r="D91" s="29">
        <v>5751.7199999999984</v>
      </c>
      <c r="E91" s="29">
        <v>60071.700000000012</v>
      </c>
      <c r="F91" s="29">
        <v>13895.809999999976</v>
      </c>
      <c r="G91" s="30">
        <f>SUM(C91:F91)</f>
        <v>141691.30999999991</v>
      </c>
      <c r="AP91" s="17"/>
    </row>
    <row r="92" spans="2:42" ht="13" hidden="1">
      <c r="B92" s="28">
        <v>44621</v>
      </c>
      <c r="C92" s="29">
        <f>34026.55+2886.38</f>
        <v>36912.93</v>
      </c>
      <c r="D92" s="29">
        <v>13190.81</v>
      </c>
      <c r="E92" s="29">
        <f>33434.32+47188.99</f>
        <v>80623.31</v>
      </c>
      <c r="F92" s="29">
        <v>15117.38</v>
      </c>
      <c r="G92" s="30">
        <f>SUM(C92:F92)</f>
        <v>145844.43</v>
      </c>
      <c r="AP92" s="17"/>
    </row>
    <row r="93" spans="2:7" ht="13" hidden="1">
      <c r="B93" s="28">
        <v>44652</v>
      </c>
      <c r="C93" s="29">
        <f>33099.59+896.39</f>
        <v>33995.979999999996</v>
      </c>
      <c r="D93" s="29">
        <f>4624.61</f>
        <v>4624.61</v>
      </c>
      <c r="E93" s="29">
        <f>32267.99+26180.97</f>
        <v>58448.960000000006</v>
      </c>
      <c r="F93" s="29">
        <v>4431.42</v>
      </c>
      <c r="G93" s="30">
        <f>SUM(C93:F93)</f>
        <v>101500.97</v>
      </c>
    </row>
    <row r="94" spans="2:7" ht="13" hidden="1">
      <c r="B94" s="28">
        <v>44682</v>
      </c>
      <c r="C94" s="29">
        <f>59184.77+2030.5</f>
        <v>61215.27</v>
      </c>
      <c r="D94" s="29">
        <v>7874.28</v>
      </c>
      <c r="E94" s="29">
        <f>81583.25+31710.43</f>
        <v>113293.68</v>
      </c>
      <c r="F94" s="29">
        <v>4471.45</v>
      </c>
      <c r="G94" s="30">
        <f>SUM(C94:F94)</f>
        <v>186854.68</v>
      </c>
    </row>
    <row r="95" spans="2:7" ht="13" hidden="1">
      <c r="B95" s="28">
        <v>44714</v>
      </c>
      <c r="C95" s="29">
        <v>61962.439999999937</v>
      </c>
      <c r="D95" s="29">
        <v>12738.090000000009</v>
      </c>
      <c r="E95" s="29">
        <v>113037.32000000007</v>
      </c>
      <c r="F95" s="29">
        <v>6588.6099999999988</v>
      </c>
      <c r="G95" s="30">
        <f>SUM(C95:F95)</f>
        <v>194326.46</v>
      </c>
    </row>
    <row r="96" spans="2:7" ht="13" hidden="1">
      <c r="B96" s="28">
        <v>44745</v>
      </c>
      <c r="C96" s="29">
        <v>38116.579999999907</v>
      </c>
      <c r="D96" s="29">
        <v>6886.2699999999932</v>
      </c>
      <c r="E96" s="29">
        <v>96724.269999999946</v>
      </c>
      <c r="F96" s="29">
        <v>5400.9999999999964</v>
      </c>
      <c r="G96" s="30">
        <f>SUM(C96:F96)</f>
        <v>147128.11999999985</v>
      </c>
    </row>
    <row r="97" spans="2:42" ht="13" hidden="1">
      <c r="B97" s="28">
        <v>44777</v>
      </c>
      <c r="C97" s="29">
        <v>49358.709999999948</v>
      </c>
      <c r="D97" s="29">
        <v>9931.4500000000062</v>
      </c>
      <c r="E97" s="29">
        <v>81500.37</v>
      </c>
      <c r="F97" s="29">
        <v>5974.1399999999967</v>
      </c>
      <c r="G97" s="30">
        <f>SUM(C97:F97)</f>
        <v>146764.66999999993</v>
      </c>
      <c r="AP97" s="17"/>
    </row>
    <row r="98" spans="2:7" ht="13" hidden="1">
      <c r="B98" s="28">
        <v>44805</v>
      </c>
      <c r="C98" s="29">
        <f>72542.63+3888</f>
        <v>76430.63</v>
      </c>
      <c r="D98" s="29">
        <f>6701.59</f>
        <v>6701.59</v>
      </c>
      <c r="E98" s="29">
        <f>94794.03+35680.66</f>
        <v>130474.69</v>
      </c>
      <c r="F98" s="29">
        <v>4340.2</v>
      </c>
      <c r="G98" s="30">
        <f>SUM(C98:F98)</f>
        <v>217947.11000000002</v>
      </c>
    </row>
    <row r="99" spans="2:7" ht="13" hidden="1">
      <c r="B99" s="28">
        <v>44835</v>
      </c>
      <c r="C99" s="29">
        <f>272.73+54098.91</f>
        <v>54371.640000000007</v>
      </c>
      <c r="D99" s="29">
        <v>12790.9</v>
      </c>
      <c r="E99" s="29">
        <f>42552.09+68708.33</f>
        <v>111260.42</v>
      </c>
      <c r="F99" s="29">
        <v>3966.65</v>
      </c>
      <c r="G99" s="30">
        <f>SUM(C99:F99)</f>
        <v>182389.61000000002</v>
      </c>
    </row>
    <row r="100" spans="2:7" ht="13" hidden="1">
      <c r="B100" s="28">
        <v>44866</v>
      </c>
      <c r="C100" s="29">
        <f>5547.08+70198.32</f>
        <v>75745.400000000009</v>
      </c>
      <c r="D100" s="29">
        <v>11630.51</v>
      </c>
      <c r="E100" s="29">
        <f>49364.79+63804.41</f>
        <v>113169.20000000001</v>
      </c>
      <c r="F100" s="29">
        <v>9476.59</v>
      </c>
      <c r="G100" s="30">
        <f>SUM(C100:F100)</f>
        <v>210021.7</v>
      </c>
    </row>
    <row r="101" spans="2:7" ht="12" customHeight="1" hidden="1">
      <c r="B101" s="28">
        <v>44897</v>
      </c>
      <c r="C101" s="29">
        <f>5699.62+55588.11</f>
        <v>61287.73</v>
      </c>
      <c r="D101" s="29">
        <v>9845.26</v>
      </c>
      <c r="E101" s="29">
        <f>39833.9+27690.23</f>
        <v>67524.13</v>
      </c>
      <c r="F101" s="29">
        <v>12815.71</v>
      </c>
      <c r="G101" s="30">
        <f>SUM(C101:F101)</f>
        <v>151472.83</v>
      </c>
    </row>
    <row r="102" spans="2:7" ht="13" hidden="1">
      <c r="B102" s="28">
        <v>44868</v>
      </c>
      <c r="C102" s="29"/>
      <c r="D102" s="29"/>
      <c r="E102" s="29"/>
      <c r="F102" s="29"/>
      <c r="G102" s="30">
        <f>SUM(C102:F102)</f>
        <v>0</v>
      </c>
    </row>
    <row r="103" spans="2:7" ht="13" hidden="1">
      <c r="B103" s="28">
        <v>44869</v>
      </c>
      <c r="C103" s="29"/>
      <c r="D103" s="29"/>
      <c r="E103" s="29"/>
      <c r="F103" s="29"/>
      <c r="G103" s="30">
        <f>SUM(C103:F103)</f>
        <v>0</v>
      </c>
    </row>
    <row r="104" spans="2:7" ht="13" hidden="1">
      <c r="B104" s="28">
        <v>44870</v>
      </c>
      <c r="C104" s="29"/>
      <c r="D104" s="29"/>
      <c r="E104" s="29"/>
      <c r="F104" s="29"/>
      <c r="G104" s="30">
        <f>SUM(C104:F104)</f>
        <v>0</v>
      </c>
    </row>
    <row r="105" spans="2:7" ht="13" hidden="1">
      <c r="B105" s="28">
        <v>44927</v>
      </c>
      <c r="C105" s="29">
        <f>712.76+55757.55</f>
        <v>56470.310000000005</v>
      </c>
      <c r="D105" s="29">
        <v>12372.21</v>
      </c>
      <c r="E105" s="29">
        <f>27164.14+57506.54</f>
        <v>84670.68</v>
      </c>
      <c r="F105" s="29">
        <v>24246.94</v>
      </c>
      <c r="G105" s="30">
        <f>SUM(C105:F105)</f>
        <v>177760.14</v>
      </c>
    </row>
    <row r="106" spans="2:7" ht="13" hidden="1">
      <c r="B106" s="28">
        <v>44958</v>
      </c>
      <c r="C106" s="29">
        <f>1190.23+30796.44</f>
        <v>31986.67</v>
      </c>
      <c r="D106" s="29">
        <v>15117.96</v>
      </c>
      <c r="E106" s="29">
        <f>30820.17+37763.71</f>
        <v>68583.88</v>
      </c>
      <c r="F106" s="29">
        <f>15967.64+2347.4</f>
        <v>18315.04</v>
      </c>
      <c r="G106" s="30">
        <f>SUM(C106:F106)</f>
        <v>134003.55000000002</v>
      </c>
    </row>
    <row r="107" spans="2:7" ht="13" hidden="1">
      <c r="B107" s="28">
        <v>44986</v>
      </c>
      <c r="C107" s="29">
        <f>1232.63+17190.92+9110.44</f>
        <v>27533.989999999998</v>
      </c>
      <c r="D107" s="29">
        <f>15766.68</f>
        <v>15766.68</v>
      </c>
      <c r="E107" s="29">
        <f>51111.39+6710.36+32025.39+913.39</f>
        <v>90760.53</v>
      </c>
      <c r="F107" s="29">
        <f>13172.95</f>
        <v>13172.95</v>
      </c>
      <c r="G107" s="30">
        <f>SUM(C107:F107)</f>
        <v>147234.15000000002</v>
      </c>
    </row>
    <row r="108" spans="2:7" ht="13" hidden="1">
      <c r="B108" s="28">
        <v>45017</v>
      </c>
      <c r="C108" s="29">
        <f>2066.85+2833.13+25491.38</f>
        <v>30391.36</v>
      </c>
      <c r="D108" s="29">
        <f>12514.12</f>
        <v>12514.12</v>
      </c>
      <c r="E108" s="29">
        <f>19082.16+3322.44+32571.87+280.4</f>
        <v>55256.87</v>
      </c>
      <c r="F108" s="29">
        <f>4511.47</f>
        <v>4511.47</v>
      </c>
      <c r="G108" s="30">
        <f>SUM(C108:F108)</f>
        <v>102673.82</v>
      </c>
    </row>
    <row r="109" spans="2:7" ht="13" hidden="1">
      <c r="B109" s="28">
        <v>45047</v>
      </c>
      <c r="C109" s="29">
        <f>4268.48+3271.87</f>
        <v>7540.3499999999995</v>
      </c>
      <c r="D109" s="29">
        <f>15816.41</f>
        <v>15816.41</v>
      </c>
      <c r="E109" s="29">
        <f>39299.3</f>
        <v>39299.3</v>
      </c>
      <c r="F109" s="29">
        <f>5839.31</f>
        <v>5839.31</v>
      </c>
      <c r="G109" s="30">
        <f>SUM(C109:F109)</f>
        <v>68495.37</v>
      </c>
    </row>
    <row r="110" spans="2:7" ht="13" hidden="1">
      <c r="B110" s="28">
        <v>45078</v>
      </c>
      <c r="C110" s="29">
        <f>6882.72+46402.84+5330.39+45788.17</f>
        <v>104404.12</v>
      </c>
      <c r="D110" s="29">
        <f>16410</f>
        <v>16410</v>
      </c>
      <c r="E110" s="29">
        <f>40960.24-72.22+64338.19+6251.28+84.4+57891.71</f>
        <v>169453.59999999998</v>
      </c>
      <c r="F110" s="29">
        <f>7682.74</f>
        <v>7682.74</v>
      </c>
      <c r="G110" s="30">
        <f>SUM(C110:F110)</f>
        <v>297950.45999999996</v>
      </c>
    </row>
    <row r="111" spans="2:7" ht="13">
      <c r="B111" s="28">
        <v>45108</v>
      </c>
      <c r="C111" s="29">
        <f>3257.26</f>
        <v>3257.26</v>
      </c>
      <c r="D111" s="29">
        <f>14662.2</f>
        <v>14662.2</v>
      </c>
      <c r="E111" s="29">
        <f>36273.09</f>
        <v>36273.09</v>
      </c>
      <c r="F111" s="29">
        <f>5893.45</f>
        <v>5893.45</v>
      </c>
      <c r="G111" s="30">
        <f>SUM(C111:F111)</f>
        <v>60085.999999999993</v>
      </c>
    </row>
    <row r="112" spans="2:7" ht="13">
      <c r="B112" s="28">
        <v>45139</v>
      </c>
      <c r="C112" s="29">
        <f>3483</f>
        <v>3483</v>
      </c>
      <c r="D112" s="29">
        <f>10564.88</f>
        <v>10564.88</v>
      </c>
      <c r="E112" s="29">
        <f>32598.42</f>
        <v>32598.42</v>
      </c>
      <c r="F112" s="29">
        <f>7143.59</f>
        <v>7143.59</v>
      </c>
      <c r="G112" s="30">
        <f>SUM(C112:F112)</f>
        <v>53789.89</v>
      </c>
    </row>
    <row r="113" spans="2:7" ht="13">
      <c r="B113" s="28">
        <v>45170</v>
      </c>
      <c r="C113" s="29">
        <f>2768</f>
        <v>2768</v>
      </c>
      <c r="D113" s="29">
        <f>17036.33</f>
        <v>17036.33</v>
      </c>
      <c r="E113" s="29">
        <f>32911.55</f>
        <v>32911.55</v>
      </c>
      <c r="F113" s="29">
        <f>6663.8</f>
        <v>6663.8</v>
      </c>
      <c r="G113" s="30">
        <f>SUM(C113:F113)</f>
        <v>59379.680000000008</v>
      </c>
    </row>
    <row r="114" spans="2:7" ht="13">
      <c r="B114" s="28">
        <v>45200</v>
      </c>
      <c r="C114" s="29">
        <f>1865.37+45326.03+18496.58+1910.9+913.21+41305.96</f>
        <v>109818.05000000002</v>
      </c>
      <c r="D114" s="29">
        <f>8505.81</f>
        <v>8505.81</v>
      </c>
      <c r="E114" s="29">
        <f>30191.28+23901.52+33007.22+5656.68+7430.05+40999.05</f>
        <v>141185.80000000002</v>
      </c>
      <c r="F114" s="29">
        <f>3933.09</f>
        <v>3933.09</v>
      </c>
      <c r="G114" s="30">
        <f>SUM(C114:F114)</f>
        <v>263442.75000000006</v>
      </c>
    </row>
    <row r="115" spans="2:7" ht="13">
      <c r="B115" s="28">
        <v>45231</v>
      </c>
      <c r="C115" s="29">
        <f>2059.37</f>
        <v>2059.37</v>
      </c>
      <c r="D115" s="29">
        <f>16324.12</f>
        <v>16324.12</v>
      </c>
      <c r="E115" s="29">
        <f>42647.69</f>
        <v>42647.69</v>
      </c>
      <c r="F115" s="29">
        <f>9012.47</f>
        <v>9012.47</v>
      </c>
      <c r="G115" s="30">
        <f>SUM(C115:F115)</f>
        <v>70043.650000000009</v>
      </c>
    </row>
    <row r="116" spans="2:7" ht="13">
      <c r="B116" s="28">
        <v>45262</v>
      </c>
      <c r="C116" s="29">
        <f>33198.06+625.95</f>
        <v>33824.009999999995</v>
      </c>
      <c r="D116" s="29">
        <v>14009.29</v>
      </c>
      <c r="E116" s="29">
        <f>41967.02+42115.02</f>
        <v>84082.04</v>
      </c>
      <c r="F116" s="29">
        <v>16406.75</v>
      </c>
      <c r="G116" s="30">
        <f>SUM(C116:F116)</f>
        <v>148322.09</v>
      </c>
    </row>
    <row r="117" spans="2:7" ht="13">
      <c r="B117" s="28">
        <v>45294</v>
      </c>
      <c r="C117" s="29">
        <f>108951.45+664.06</f>
        <v>109615.51</v>
      </c>
      <c r="D117" s="29">
        <v>7862.86</v>
      </c>
      <c r="E117" s="29">
        <f>63671.8+26716.67</f>
        <v>90388.47</v>
      </c>
      <c r="F117" s="29">
        <v>23532.69</v>
      </c>
      <c r="G117" s="30">
        <f>SUM(C117:F117)</f>
        <v>231399.53</v>
      </c>
    </row>
    <row r="118" spans="2:7" ht="13">
      <c r="B118" s="28">
        <v>45326</v>
      </c>
      <c r="C118" s="29">
        <f>34965.38+1668.35</f>
        <v>36633.729999999996</v>
      </c>
      <c r="D118" s="29">
        <v>7298.57</v>
      </c>
      <c r="E118" s="29">
        <f>20662.98+32443.95</f>
        <v>53106.93</v>
      </c>
      <c r="F118" s="29">
        <v>16079.89</v>
      </c>
      <c r="G118" s="30">
        <f>SUM(C118:F118)</f>
        <v>113119.12</v>
      </c>
    </row>
    <row r="119" spans="2:7" ht="13">
      <c r="B119" s="28">
        <v>45356</v>
      </c>
      <c r="C119" s="29">
        <f>47800.23+182.75</f>
        <v>47982.98</v>
      </c>
      <c r="D119" s="29">
        <v>15384.69</v>
      </c>
      <c r="E119" s="29">
        <f>32943.97+43446.23</f>
        <v>76390.200000000012</v>
      </c>
      <c r="F119" s="29">
        <v>10911.39</v>
      </c>
      <c r="G119" s="30">
        <f>SUM(C119:F119)</f>
        <v>150669.26</v>
      </c>
    </row>
    <row r="120" spans="2:7" ht="13">
      <c r="B120" s="28">
        <v>45388</v>
      </c>
      <c r="C120" s="29">
        <f>57431.82+689</f>
        <v>58120.82</v>
      </c>
      <c r="D120" s="29">
        <v>9293.96</v>
      </c>
      <c r="E120" s="29">
        <f>40929.95+27218.37</f>
        <v>68148.319999999992</v>
      </c>
      <c r="F120" s="29">
        <v>6415.81</v>
      </c>
      <c r="G120" s="30">
        <f>SUM(C120:F120)</f>
        <v>141978.90999999997</v>
      </c>
    </row>
    <row r="121" spans="2:7" ht="13">
      <c r="B121" s="28">
        <v>45419</v>
      </c>
      <c r="C121" s="29">
        <f>108156.76+1205</f>
        <v>109361.76</v>
      </c>
      <c r="D121" s="29">
        <v>10068.65</v>
      </c>
      <c r="E121" s="29">
        <f>28021.2+36682.02</f>
        <v>64703.22</v>
      </c>
      <c r="F121" s="29">
        <v>11319.36</v>
      </c>
      <c r="G121" s="30">
        <f>SUM(C121:F121)</f>
        <v>195452.99</v>
      </c>
    </row>
    <row r="122" spans="2:7" ht="13">
      <c r="B122" s="28">
        <v>45451</v>
      </c>
      <c r="C122" s="29">
        <f>535+57211.64</f>
        <v>57746.64</v>
      </c>
      <c r="D122" s="29">
        <f>6517.13</f>
        <v>6517.13</v>
      </c>
      <c r="E122" s="29">
        <f>30406.49+32091.5</f>
        <v>62497.990000000005</v>
      </c>
      <c r="F122" s="29">
        <f>6111.56</f>
        <v>6111.56</v>
      </c>
      <c r="G122" s="30">
        <f>SUM(C122:F122)</f>
        <v>132873.32</v>
      </c>
    </row>
    <row r="123" spans="2:7" ht="13">
      <c r="B123" s="28">
        <v>45482</v>
      </c>
      <c r="C123" s="29">
        <f>1686.76+37996.57</f>
        <v>39683.33</v>
      </c>
      <c r="D123" s="29">
        <f>11637.36</f>
        <v>11637.36</v>
      </c>
      <c r="E123" s="29">
        <f>32546.79+38517.88</f>
        <v>71064.67</v>
      </c>
      <c r="F123" s="29">
        <f>7229.82</f>
        <v>7229.82</v>
      </c>
      <c r="G123" s="30">
        <f>SUM(C123:F123)</f>
        <v>129615.18</v>
      </c>
    </row>
    <row r="124" spans="2:7" ht="13">
      <c r="B124" s="28">
        <v>45514</v>
      </c>
      <c r="C124" s="29">
        <f>190</f>
        <v>190</v>
      </c>
      <c r="D124" s="29">
        <f>10584.12</f>
        <v>10584.12</v>
      </c>
      <c r="E124" s="29">
        <f>38401.36</f>
        <v>38401.36</v>
      </c>
      <c r="F124" s="29">
        <f>14826.15</f>
        <v>14826.15</v>
      </c>
      <c r="G124" s="30">
        <f>SUM(C124:F124)</f>
        <v>64001.630000000005</v>
      </c>
    </row>
    <row r="125" spans="2:7" ht="13">
      <c r="B125" s="28">
        <v>45546</v>
      </c>
      <c r="C125" s="29">
        <f>61298.73+2479.9</f>
        <v>63778.630000000005</v>
      </c>
      <c r="D125" s="29">
        <v>6612.25</v>
      </c>
      <c r="E125" s="29">
        <f>47733.78+26510.3</f>
        <v>74244.08</v>
      </c>
      <c r="F125" s="29">
        <v>6653.16</v>
      </c>
      <c r="G125" s="30">
        <f>SUM(C125:F125)</f>
        <v>151288.12000000002</v>
      </c>
    </row>
    <row r="126" spans="2:7" ht="13">
      <c r="B126" s="28">
        <v>45577</v>
      </c>
      <c r="C126" s="29">
        <f>31753.14+2594</f>
        <v>34347.14</v>
      </c>
      <c r="D126" s="29">
        <v>11222.95</v>
      </c>
      <c r="E126" s="29">
        <f>27301.12+32504.9</f>
        <v>59806.020000000004</v>
      </c>
      <c r="F126" s="29">
        <v>6747.14</v>
      </c>
      <c r="G126" s="30">
        <f>SUM(C126:F126)</f>
        <v>112123.25</v>
      </c>
    </row>
    <row r="127" spans="2:7" ht="13">
      <c r="B127" s="28">
        <v>45609</v>
      </c>
      <c r="C127" s="29">
        <f>64051.85+249.35</f>
        <v>64301.2</v>
      </c>
      <c r="D127" s="29">
        <v>10567.86</v>
      </c>
      <c r="E127" s="29">
        <f>54577.19+35459.7</f>
        <v>90036.89</v>
      </c>
      <c r="F127" s="29">
        <v>7248.54</v>
      </c>
      <c r="G127" s="30">
        <f>SUM(C127:F127)</f>
        <v>172154.49000000002</v>
      </c>
    </row>
    <row r="128" spans="2:7" ht="13">
      <c r="B128" s="28">
        <v>45627</v>
      </c>
      <c r="C128" s="29">
        <v>2069.54</v>
      </c>
      <c r="D128" s="29">
        <v>9034.11</v>
      </c>
      <c r="E128" s="29">
        <v>29644.98</v>
      </c>
      <c r="F128" s="29">
        <v>13865.36</v>
      </c>
      <c r="G128" s="30">
        <f>SUM(C128:F128)</f>
        <v>54613.990000000005</v>
      </c>
    </row>
    <row r="129" spans="2:7" ht="13">
      <c r="B129" s="28">
        <v>45658</v>
      </c>
      <c r="C129" s="29">
        <f>30048.06+46.71</f>
        <v>30094.77</v>
      </c>
      <c r="D129" s="29">
        <v>5585.33</v>
      </c>
      <c r="E129" s="29">
        <f>31808.4+27107.41</f>
        <v>58915.81</v>
      </c>
      <c r="F129" s="29">
        <v>23623.63</v>
      </c>
      <c r="G129" s="30">
        <f>SUM(C129:F129)</f>
        <v>118219.54000000001</v>
      </c>
    </row>
    <row r="130" spans="2:7" ht="13">
      <c r="B130" s="28">
        <v>45689</v>
      </c>
      <c r="C130" s="29">
        <f>36373.79</f>
        <v>36373.79</v>
      </c>
      <c r="D130" s="29">
        <v>6413.93</v>
      </c>
      <c r="E130" s="29">
        <f>49884.2+29729.09</f>
        <v>79613.29</v>
      </c>
      <c r="F130" s="29">
        <v>13971.95</v>
      </c>
      <c r="G130" s="30">
        <f>SUM(C130:F130)</f>
        <v>136372.96</v>
      </c>
    </row>
    <row r="131" spans="2:7" ht="13">
      <c r="B131" s="28">
        <v>45717</v>
      </c>
      <c r="C131" s="29">
        <v>694.67</v>
      </c>
      <c r="D131" s="29">
        <v>8913.31</v>
      </c>
      <c r="E131" s="29">
        <v>36842.04</v>
      </c>
      <c r="F131" s="29">
        <v>10570.54</v>
      </c>
      <c r="G131" s="30">
        <f>SUM(C131:F131)</f>
        <v>57020.560000000005</v>
      </c>
    </row>
    <row r="132" spans="2:7" ht="13">
      <c r="B132" s="28">
        <v>45748</v>
      </c>
      <c r="C132" s="29">
        <f>110+23420.97</f>
        <v>23530.97</v>
      </c>
      <c r="D132" s="29">
        <v>5147.82</v>
      </c>
      <c r="E132" s="29">
        <f>27376.08+21666.79</f>
        <v>49042.87</v>
      </c>
      <c r="F132" s="29">
        <v>4612.78</v>
      </c>
      <c r="G132" s="30">
        <f>SUM(C132:F132)</f>
        <v>82334.44</v>
      </c>
    </row>
    <row r="133" spans="2:7" ht="13">
      <c r="B133" s="28">
        <v>45778</v>
      </c>
      <c r="C133" s="29">
        <f>56336.18+2491.15</f>
        <v>58827.33</v>
      </c>
      <c r="D133" s="29">
        <v>8914.26</v>
      </c>
      <c r="E133" s="29">
        <f>47481.13+33592.01</f>
        <v>81073.14</v>
      </c>
      <c r="F133" s="29">
        <v>5859.53</v>
      </c>
      <c r="G133" s="30">
        <f>SUM(C133:F133)</f>
        <v>154674.25999999998</v>
      </c>
    </row>
    <row r="134" spans="2:7" ht="13">
      <c r="B134" s="28">
        <v>45810</v>
      </c>
      <c r="C134" s="29">
        <f>31743.25+570</f>
        <v>32313.25</v>
      </c>
      <c r="D134" s="29">
        <v>8645.44</v>
      </c>
      <c r="E134" s="29">
        <f>25644.43+32114.85</f>
        <v>57759.28</v>
      </c>
      <c r="F134" s="29">
        <v>8131.68</v>
      </c>
      <c r="G134" s="30">
        <f>SUM(C134:F134)</f>
        <v>106849.65</v>
      </c>
    </row>
    <row r="135" spans="2:7" ht="13">
      <c r="B135" s="28">
        <v>45841</v>
      </c>
      <c r="C135" s="29">
        <v>306.28</v>
      </c>
      <c r="D135" s="29">
        <v>9176.47</v>
      </c>
      <c r="E135" s="29">
        <v>25094.73</v>
      </c>
      <c r="F135" s="29">
        <v>4385.45</v>
      </c>
      <c r="G135" s="30">
        <f>SUM(C135:F135)</f>
        <v>38962.929999999993</v>
      </c>
    </row>
    <row r="136" spans="2:7" ht="13">
      <c r="B136" s="28">
        <v>45873</v>
      </c>
      <c r="C136" s="29">
        <f>25644.12+2392.44</f>
        <v>28036.559999999998</v>
      </c>
      <c r="D136" s="29">
        <v>9229.6</v>
      </c>
      <c r="E136" s="29">
        <f>16579.71+22847.43</f>
        <v>39427.14</v>
      </c>
      <c r="F136" s="29">
        <v>7415.12</v>
      </c>
      <c r="G136" s="30">
        <f>SUM(C136:F136)</f>
        <v>84108.419999999984</v>
      </c>
    </row>
    <row r="137" spans="2:7" ht="13">
      <c r="B137" s="28"/>
      <c r="C137" s="29"/>
      <c r="D137" s="29"/>
      <c r="E137" s="29"/>
      <c r="F137" s="29"/>
      <c r="G137" s="30"/>
    </row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</sheetData>
  <pageMargins left="0.7" right="0.7" top="0.75" bottom="0.75" header="0.3" footer="0.3"/>
  <headerFooter scaleWithDoc="1" alignWithMargins="0" differentFirst="0" differentOddEven="0"/>
  <ignoredErrors>
    <ignoredError sqref="G8:G91" formulaRange="1"/>
  </ignoredErrors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_dlc_DocId xmlns="f6b9c693-0a00-45e6-8427-e5a5901975e5">VAFPPR7YHXXJ-1385690385-13732</_dlc_DocId>
    <_dlc_DocIdUrl xmlns="f6b9c693-0a00-45e6-8427-e5a5901975e5">
      <Url xmlns="f6b9c693-0a00-45e6-8427-e5a5901975e5">https://ordnancesurvey.sharepoint.com/sites/financecentral/_layouts/15/DocIdRedir.aspx?ID=VAFPPR7YHXXJ-1385690385-13732</Url>
      <Description xmlns="f6b9c693-0a00-45e6-8427-e5a5901975e5">VAFPPR7YHXXJ-1385690385-13732</Description>
    </_dlc_DocIdUrl>
    <TaxCatchAll xmlns="f6b9c693-0a00-45e6-8427-e5a5901975e5" xsi:nil="true"/>
    <lcf76f155ced4ddcb4097134ff3c332f xmlns="44c761bf-7504-4513-afab-7df09ba6c1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91B671DD27EF43B658A9AF3CDCB57B" ma:contentTypeVersion="14" ma:contentTypeDescription="Create a new document." ma:contentTypeScope="" ma:versionID="5d9c7c37d17c508230a2e15d9113fa99">
  <xsd:schema xmlns:xsd="http://www.w3.org/2001/XMLSchema" xmlns:xs="http://www.w3.org/2001/XMLSchema" xmlns:p="http://schemas.microsoft.com/office/2006/metadata/properties" xmlns:ns2="f6b9c693-0a00-45e6-8427-e5a5901975e5" xmlns:ns3="44c761bf-7504-4513-afab-7df09ba6c1d7" targetNamespace="http://schemas.microsoft.com/office/2006/metadata/properties" ma:root="true" ma:fieldsID="f58de42440f316a48f99948a5ada3e30" ns2:_="" ns3:_="">
    <xsd:import namespace="f6b9c693-0a00-45e6-8427-e5a5901975e5"/>
    <xsd:import namespace="44c761bf-7504-4513-afab-7df09ba6c1d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9c693-0a00-45e6-8427-e5a5901975e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5bbc820-15e7-492c-a661-b2e99491ac4a}" ma:internalName="TaxCatchAll" ma:showField="CatchAllData" ma:web="f6b9c693-0a00-45e6-8427-e5a590197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761bf-7504-4513-afab-7df09ba6c1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1884ca-6868-493c-99d5-1edae2baa7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BBA836D-6106-4D5A-A00C-4E51CE25C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9c693-0a00-45e6-8427-e5a5901975e5"/>
    <ds:schemaRef ds:uri="44c761bf-7504-4513-afab-7df09ba6c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59F9FD-EA16-47D0-BCC0-A78EBC7E7C20}">
  <ds:schemaRefs>
    <ds:schemaRef ds:uri="http://schemas.microsoft.com/office/2006/metadata/properties"/>
    <ds:schemaRef ds:uri="http://schemas.microsoft.com/office/infopath/2007/PartnerControls"/>
    <ds:schemaRef ds:uri="f6b9c693-0a00-45e6-8427-e5a5901975e5"/>
    <ds:schemaRef ds:uri="44c761bf-7504-4513-afab-7df09ba6c1d7"/>
  </ds:schemaRefs>
</ds:datastoreItem>
</file>

<file path=customXml/itemProps3.xml><?xml version="1.0" encoding="utf-8"?>
<ds:datastoreItem xmlns:ds="http://schemas.openxmlformats.org/officeDocument/2006/customXml" ds:itemID="{AF464BC0-D4C0-41DB-A926-E2F598221CD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5C1DF5-6A8F-416B-B423-A161FC53EA3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>
  <Application>Microsoft Excel</Application>
  <Company>Ordnance Survey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John Redwood</dc:creator>
  <cp:keywords/>
  <cp:lastModifiedBy>Charlotte Chadd</cp:lastModifiedBy>
  <dcterms:created xsi:type="dcterms:W3CDTF">2015-08-26T11:53:16Z</dcterms:created>
  <dcterms:modified xsi:type="dcterms:W3CDTF">2025-09-23T09:43:33Z</dcterms:modified>
  <dc:subject/>
  <cp:lastPrinted>2016-09-01T07:03:41Z</cp:lastPrinted>
  <dc:title>OS Allowances and Expenses July 2023 - Aug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dcc48dd-5a9b-44cb-83c5-6df51ed77cb7_Enabled">
    <vt:lpstr>true</vt:lpstr>
  </property>
  <property fmtid="{D5CDD505-2E9C-101B-9397-08002B2CF9AE}" pid="3" name="MSIP_Label_ddcc48dd-5a9b-44cb-83c5-6df51ed77cb7_SetDate">
    <vt:lpstr>2022-03-21T14:51:14Z</vt:lpstr>
  </property>
  <property fmtid="{D5CDD505-2E9C-101B-9397-08002B2CF9AE}" pid="4" name="MSIP_Label_ddcc48dd-5a9b-44cb-83c5-6df51ed77cb7_Method">
    <vt:lpstr>Privileged</vt:lpstr>
  </property>
  <property fmtid="{D5CDD505-2E9C-101B-9397-08002B2CF9AE}" pid="5" name="MSIP_Label_ddcc48dd-5a9b-44cb-83c5-6df51ed77cb7_Name">
    <vt:lpstr>ddcc48dd-5a9b-44cb-83c5-6df51ed77cb7</vt:lpstr>
  </property>
  <property fmtid="{D5CDD505-2E9C-101B-9397-08002B2CF9AE}" pid="6" name="MSIP_Label_ddcc48dd-5a9b-44cb-83c5-6df51ed77cb7_SiteId">
    <vt:lpstr>7988742d-c543-4b9a-87a9-10a7b354d289</vt:lpstr>
  </property>
  <property fmtid="{D5CDD505-2E9C-101B-9397-08002B2CF9AE}" pid="7" name="MSIP_Label_ddcc48dd-5a9b-44cb-83c5-6df51ed77cb7_ActionId">
    <vt:lpstr>3aca2c5c-1fbb-4838-9bd2-d0ff6eab18af</vt:lpstr>
  </property>
  <property fmtid="{D5CDD505-2E9C-101B-9397-08002B2CF9AE}" pid="8" name="MSIP_Label_ddcc48dd-5a9b-44cb-83c5-6df51ed77cb7_ContentBits">
    <vt:lpstr>0</vt:lpstr>
  </property>
  <property fmtid="{D5CDD505-2E9C-101B-9397-08002B2CF9AE}" pid="9" name="ContentTypeId">
    <vt:lpstr>0x0101007991B671DD27EF43B658A9AF3CDCB57B</vt:lpstr>
  </property>
  <property fmtid="{D5CDD505-2E9C-101B-9397-08002B2CF9AE}" pid="10" name="_dlc_DocIdItemGuid">
    <vt:lpstr>978c6c64-0c02-41de-ada2-c20f362ab185</vt:lpstr>
  </property>
  <property fmtid="{D5CDD505-2E9C-101B-9397-08002B2CF9AE}" pid="11" name="MediaServiceImageTags">
    <vt:lpstr/>
  </property>
</Properties>
</file>