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175" documentId="8_{9425984F-6810-4ACF-BC87-228F36584B13}" xr6:coauthVersionLast="47" xr6:coauthVersionMax="47" xr10:uidLastSave="{A7ACDE33-2F21-4F0C-9F6E-2D0A98C15A60}"/>
  <bookViews>
    <workbookView xWindow="28680" yWindow="-10860" windowWidth="38640" windowHeight="21120" xr2:uid="{00000000-000D-0000-FFFF-FFFF00000000}"/>
  </bookViews>
  <sheets>
    <sheet name="CURRENT Accom Subs &amp; Travel" sheetId="5" r:id="rId1"/>
  </sheets>
  <definedNames>
    <definedName name="OSTemplate">TRUE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5" l="1"/>
  <c r="C44" i="5"/>
  <c r="E45" i="5"/>
  <c r="C45" i="5"/>
  <c r="E46" i="5"/>
  <c r="F46" i="5"/>
  <c r="D46" i="5"/>
  <c r="F45" i="5"/>
  <c r="D45" i="5"/>
  <c r="F44" i="5"/>
  <c r="D44" i="5"/>
  <c r="E43" i="5"/>
  <c r="C43" i="5"/>
  <c r="E42" i="5"/>
  <c r="C42" i="5"/>
  <c r="E41" i="5"/>
  <c r="C41" i="5"/>
  <c r="F41" i="5"/>
  <c r="D41" i="5"/>
  <c r="F42" i="5"/>
  <c r="D42" i="5"/>
  <c r="F43" i="5"/>
  <c r="D43" i="5"/>
  <c r="E40" i="5"/>
  <c r="C40" i="5"/>
  <c r="E38" i="5"/>
  <c r="C38" i="5"/>
  <c r="G38" i="5" s="1"/>
  <c r="G39" i="5"/>
  <c r="E37" i="5"/>
  <c r="C37" i="5"/>
  <c r="E36" i="5"/>
  <c r="C36" i="5"/>
  <c r="G35" i="5"/>
  <c r="E34" i="5"/>
  <c r="E33" i="5"/>
  <c r="C33" i="5"/>
  <c r="C34" i="5"/>
  <c r="G32" i="5"/>
  <c r="E31" i="5"/>
  <c r="C31" i="5"/>
  <c r="E30" i="5"/>
  <c r="C30" i="5"/>
  <c r="E29" i="5"/>
  <c r="C29" i="5"/>
  <c r="E26" i="5"/>
  <c r="C26" i="5"/>
  <c r="E27" i="5"/>
  <c r="C27" i="5"/>
  <c r="F28" i="5"/>
  <c r="E28" i="5"/>
  <c r="D28" i="5"/>
  <c r="C28" i="5"/>
  <c r="F27" i="5"/>
  <c r="D27" i="5"/>
  <c r="F26" i="5"/>
  <c r="D26" i="5"/>
  <c r="G44" i="5" l="1"/>
  <c r="G40" i="5"/>
  <c r="G33" i="5"/>
  <c r="G46" i="5"/>
  <c r="G43" i="5"/>
  <c r="G30" i="5"/>
  <c r="G31" i="5"/>
  <c r="G41" i="5"/>
  <c r="G36" i="5"/>
  <c r="G34" i="5"/>
  <c r="G29" i="5"/>
  <c r="G45" i="5"/>
  <c r="G37" i="5"/>
  <c r="G42" i="5"/>
  <c r="G26" i="5"/>
  <c r="G27" i="5"/>
  <c r="G28" i="5"/>
  <c r="E25" i="5"/>
  <c r="C25" i="5"/>
  <c r="E24" i="5"/>
  <c r="C24" i="5"/>
  <c r="E23" i="5"/>
  <c r="C23" i="5"/>
  <c r="E22" i="5"/>
  <c r="C22" i="5"/>
  <c r="E21" i="5"/>
  <c r="C21" i="5"/>
  <c r="E20" i="5"/>
  <c r="C20" i="5"/>
  <c r="C18" i="5"/>
  <c r="E18" i="5"/>
  <c r="E14" i="5"/>
  <c r="C14" i="5"/>
  <c r="E11" i="5"/>
  <c r="F11" i="5"/>
  <c r="E12" i="5"/>
  <c r="F12" i="5"/>
  <c r="C13" i="5"/>
  <c r="G23" i="5" l="1"/>
  <c r="G20" i="5"/>
  <c r="G22" i="5"/>
  <c r="G21" i="5"/>
  <c r="G25" i="5"/>
  <c r="G24" i="5"/>
  <c r="C12" i="5"/>
  <c r="E13" i="5"/>
  <c r="C11" i="5"/>
  <c r="D11" i="5"/>
  <c r="F19" i="5"/>
  <c r="E19" i="5"/>
  <c r="D19" i="5"/>
  <c r="C19" i="5"/>
  <c r="F18" i="5"/>
  <c r="D18" i="5"/>
  <c r="G18" i="5" s="1"/>
  <c r="F17" i="5"/>
  <c r="E17" i="5"/>
  <c r="D17" i="5"/>
  <c r="C17" i="5"/>
  <c r="F16" i="5"/>
  <c r="E16" i="5"/>
  <c r="D16" i="5"/>
  <c r="C16" i="5"/>
  <c r="G16" i="5" s="1"/>
  <c r="F15" i="5"/>
  <c r="E15" i="5"/>
  <c r="D15" i="5"/>
  <c r="C15" i="5"/>
  <c r="D12" i="5"/>
  <c r="D13" i="5"/>
  <c r="F13" i="5"/>
  <c r="D14" i="5"/>
  <c r="F14" i="5"/>
  <c r="F10" i="5"/>
  <c r="C10" i="5"/>
  <c r="E10" i="5"/>
  <c r="C9" i="5"/>
  <c r="E9" i="5"/>
  <c r="G14" i="5" l="1"/>
  <c r="G15" i="5"/>
  <c r="G12" i="5"/>
  <c r="G17" i="5"/>
  <c r="G19" i="5"/>
  <c r="G11" i="5"/>
  <c r="G10" i="5"/>
  <c r="G13" i="5"/>
  <c r="G9" i="5"/>
</calcChain>
</file>

<file path=xl/sharedStrings.xml><?xml version="1.0" encoding="utf-8"?>
<sst xmlns="http://schemas.openxmlformats.org/spreadsheetml/2006/main" count="11" uniqueCount="11">
  <si>
    <t>Travel</t>
  </si>
  <si>
    <t>Subsistence</t>
  </si>
  <si>
    <t>Accommodation</t>
  </si>
  <si>
    <t>TOTAL</t>
  </si>
  <si>
    <t>Month</t>
  </si>
  <si>
    <t>Other</t>
  </si>
  <si>
    <t>All Staff</t>
  </si>
  <si>
    <t>Transparency Data</t>
  </si>
  <si>
    <t>Accommodation, Subsistence and Travel</t>
  </si>
  <si>
    <t>.</t>
  </si>
  <si>
    <t>Jan 2023 to Feb 2026  inclusive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</si>
</sst>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);[Red]\(#,##0\);&quot;-&quot;_);[Blue]&quot;Error-&quot;@"/>
    <numFmt numFmtId="165" formatCode="&quot;£&quot;* #,##0_);[Red]&quot;£&quot;* \(#,##0\);&quot;£&quot;* &quot;-&quot;_);[Blue]&quot;Error-&quot;@"/>
    <numFmt numFmtId="166" formatCode="dd\ mmm\ yyyy_)"/>
    <numFmt numFmtId="167" formatCode="dd/mm/yy_)"/>
    <numFmt numFmtId="168" formatCode="0%_);[Red]\-0%_);0%_);[Blue]&quot;Error-&quot;@"/>
    <numFmt numFmtId="169" formatCode="&quot;Error&quot;;&quot;Error&quot;;&quot;OK&quot;"/>
    <numFmt numFmtId="170" formatCode="000"/>
    <numFmt numFmtId="171" formatCode="#,##0_);\(#,##0\);&quot;-&quot;_);[Blue]&quot;Error-&quot;@"/>
    <numFmt numFmtId="172" formatCode="&quot;£&quot;\ #,##0"/>
    <numFmt numFmtId="173" formatCode="mmmm\ yyyy"/>
    <numFmt numFmtId="174" formatCode="&quot;£&quot;\ #,##0.00"/>
  </numFmts>
  <fonts count="48" x14ac:knownFonts="1"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i/>
      <sz val="10"/>
      <color rgb="FF7F7F7F"/>
      <name val="Calibri"/>
      <family val="2"/>
      <scheme val="minor"/>
    </font>
    <font>
      <i/>
      <sz val="8"/>
      <color indexed="62"/>
      <name val="Arial"/>
      <family val="2"/>
    </font>
    <font>
      <sz val="8"/>
      <color indexed="2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name val="Arial"/>
      <family val="2"/>
    </font>
    <font>
      <sz val="9"/>
      <color rgb="FF0070C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name val="Arial"/>
      <family val="2"/>
    </font>
    <font>
      <b/>
      <sz val="12"/>
      <color theme="0"/>
      <name val="Hanken Grotesk"/>
    </font>
    <font>
      <sz val="12"/>
      <name val="Hanken Grotesk"/>
    </font>
    <font>
      <b/>
      <sz val="12"/>
      <name val="Hanken Grotesk"/>
    </font>
  </fonts>
  <fills count="8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rgb="FF808285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8">
    <xf numFmtId="0" fontId="0" fillId="0" borderId="0"/>
    <xf numFmtId="0" fontId="2" fillId="0" borderId="0" applyNumberFormat="0" applyFill="0" applyBorder="0" applyAlignment="0" applyProtection="0"/>
    <xf numFmtId="0" fontId="22" fillId="2" borderId="0"/>
    <xf numFmtId="0" fontId="20" fillId="8" borderId="0"/>
    <xf numFmtId="0" fontId="2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164" fontId="6" fillId="0" borderId="0"/>
    <xf numFmtId="164" fontId="6" fillId="0" borderId="2"/>
    <xf numFmtId="165" fontId="6" fillId="0" borderId="0"/>
    <xf numFmtId="165" fontId="6" fillId="0" borderId="2"/>
    <xf numFmtId="166" fontId="6" fillId="0" borderId="0">
      <alignment horizontal="right"/>
      <protection locked="0"/>
    </xf>
    <xf numFmtId="167" fontId="6" fillId="0" borderId="0">
      <alignment horizontal="right"/>
    </xf>
    <xf numFmtId="168" fontId="6" fillId="0" borderId="0"/>
    <xf numFmtId="168" fontId="6" fillId="0" borderId="2"/>
    <xf numFmtId="164" fontId="6" fillId="3" borderId="3"/>
    <xf numFmtId="168" fontId="6" fillId="3" borderId="3"/>
    <xf numFmtId="0" fontId="6" fillId="3" borderId="3"/>
    <xf numFmtId="169" fontId="7" fillId="0" borderId="4">
      <alignment horizontal="center"/>
    </xf>
    <xf numFmtId="164" fontId="6" fillId="4" borderId="5">
      <protection locked="0"/>
    </xf>
    <xf numFmtId="165" fontId="6" fillId="4" borderId="5">
      <protection locked="0"/>
    </xf>
    <xf numFmtId="166" fontId="6" fillId="37" borderId="5">
      <alignment horizontal="right"/>
      <protection locked="0"/>
    </xf>
    <xf numFmtId="167" fontId="6" fillId="4" borderId="5">
      <alignment horizontal="right"/>
      <protection locked="0"/>
    </xf>
    <xf numFmtId="168" fontId="6" fillId="4" borderId="5">
      <protection locked="0"/>
    </xf>
    <xf numFmtId="0" fontId="6" fillId="5" borderId="5">
      <alignment horizontal="left"/>
      <protection locked="0"/>
    </xf>
    <xf numFmtId="170" fontId="6" fillId="4" borderId="5">
      <alignment horizontal="left" indent="1"/>
      <protection locked="0"/>
    </xf>
    <xf numFmtId="0" fontId="8" fillId="0" borderId="0"/>
    <xf numFmtId="0" fontId="6" fillId="0" borderId="0"/>
    <xf numFmtId="0" fontId="9" fillId="0" borderId="0"/>
    <xf numFmtId="0" fontId="10" fillId="0" borderId="0">
      <alignment horizontal="center"/>
    </xf>
    <xf numFmtId="0" fontId="6" fillId="6" borderId="0" applyNumberFormat="0" applyFont="0" applyBorder="0" applyAlignment="0"/>
    <xf numFmtId="0" fontId="5" fillId="7" borderId="11"/>
    <xf numFmtId="0" fontId="1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33" borderId="12" applyNumberFormat="0" applyAlignment="0" applyProtection="0"/>
    <xf numFmtId="0" fontId="14" fillId="34" borderId="13" applyNumberFormat="0" applyAlignment="0" applyProtection="0"/>
    <xf numFmtId="0" fontId="15" fillId="34" borderId="12" applyNumberFormat="0" applyAlignment="0" applyProtection="0"/>
    <xf numFmtId="0" fontId="16" fillId="0" borderId="14" applyNumberFormat="0" applyFill="0" applyAlignment="0" applyProtection="0"/>
    <xf numFmtId="0" fontId="17" fillId="35" borderId="15" applyNumberFormat="0" applyAlignment="0" applyProtection="0"/>
    <xf numFmtId="0" fontId="18" fillId="0" borderId="0" applyNumberFormat="0" applyFill="0" applyBorder="0" applyAlignment="0" applyProtection="0"/>
    <xf numFmtId="0" fontId="12" fillId="36" borderId="16" applyNumberFormat="0" applyFont="0" applyAlignment="0" applyProtection="0"/>
    <xf numFmtId="0" fontId="19" fillId="0" borderId="0" applyNumberFormat="0" applyFill="0" applyBorder="0" applyAlignment="0" applyProtection="0"/>
    <xf numFmtId="167" fontId="6" fillId="3" borderId="3"/>
    <xf numFmtId="171" fontId="21" fillId="3" borderId="3"/>
    <xf numFmtId="0" fontId="23" fillId="38" borderId="0"/>
    <xf numFmtId="0" fontId="29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30" fillId="44" borderId="0" applyNumberFormat="0" applyBorder="0" applyAlignment="0" applyProtection="0"/>
    <xf numFmtId="0" fontId="30" fillId="52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29" fillId="42" borderId="0" applyNumberFormat="0" applyBorder="0" applyAlignment="0" applyProtection="0"/>
    <xf numFmtId="0" fontId="29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29" fillId="58" borderId="0" applyNumberFormat="0" applyBorder="0" applyAlignment="0" applyProtection="0"/>
    <xf numFmtId="0" fontId="31" fillId="56" borderId="0" applyNumberFormat="0" applyBorder="0" applyAlignment="0" applyProtection="0"/>
    <xf numFmtId="0" fontId="32" fillId="59" borderId="17" applyNumberFormat="0" applyAlignment="0" applyProtection="0"/>
    <xf numFmtId="0" fontId="33" fillId="51" borderId="18" applyNumberFormat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0" fillId="49" borderId="0" applyNumberFormat="0" applyBorder="0" applyAlignment="0" applyProtection="0"/>
    <xf numFmtId="0" fontId="35" fillId="0" borderId="19" applyNumberFormat="0" applyFill="0" applyAlignment="0" applyProtection="0"/>
    <xf numFmtId="0" fontId="36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38" fillId="57" borderId="17" applyNumberFormat="0" applyAlignment="0" applyProtection="0"/>
    <xf numFmtId="0" fontId="39" fillId="0" borderId="22" applyNumberFormat="0" applyFill="0" applyAlignment="0" applyProtection="0"/>
    <xf numFmtId="0" fontId="39" fillId="57" borderId="0" applyNumberFormat="0" applyBorder="0" applyAlignment="0" applyProtection="0"/>
    <xf numFmtId="0" fontId="23" fillId="56" borderId="17" applyNumberFormat="0" applyFont="0" applyAlignment="0" applyProtection="0"/>
    <xf numFmtId="0" fontId="40" fillId="59" borderId="23" applyNumberFormat="0" applyAlignment="0" applyProtection="0"/>
    <xf numFmtId="4" fontId="23" fillId="63" borderId="17" applyNumberFormat="0" applyProtection="0">
      <alignment vertical="center"/>
    </xf>
    <xf numFmtId="4" fontId="43" fillId="4" borderId="17" applyNumberFormat="0" applyProtection="0">
      <alignment vertical="center"/>
    </xf>
    <xf numFmtId="4" fontId="23" fillId="4" borderId="17" applyNumberFormat="0" applyProtection="0">
      <alignment horizontal="left" vertical="center" indent="1"/>
    </xf>
    <xf numFmtId="0" fontId="26" fillId="63" borderId="24" applyNumberFormat="0" applyProtection="0">
      <alignment horizontal="left" vertical="top" indent="1"/>
    </xf>
    <xf numFmtId="4" fontId="23" fillId="64" borderId="17" applyNumberFormat="0" applyProtection="0">
      <alignment horizontal="left" vertical="center" indent="1"/>
    </xf>
    <xf numFmtId="4" fontId="23" fillId="65" borderId="17" applyNumberFormat="0" applyProtection="0">
      <alignment horizontal="right" vertical="center"/>
    </xf>
    <xf numFmtId="4" fontId="23" fillId="66" borderId="17" applyNumberFormat="0" applyProtection="0">
      <alignment horizontal="right" vertical="center"/>
    </xf>
    <xf numFmtId="4" fontId="23" fillId="67" borderId="25" applyNumberFormat="0" applyProtection="0">
      <alignment horizontal="right" vertical="center"/>
    </xf>
    <xf numFmtId="4" fontId="23" fillId="68" borderId="17" applyNumberFormat="0" applyProtection="0">
      <alignment horizontal="right" vertical="center"/>
    </xf>
    <xf numFmtId="4" fontId="23" fillId="69" borderId="17" applyNumberFormat="0" applyProtection="0">
      <alignment horizontal="right" vertical="center"/>
    </xf>
    <xf numFmtId="4" fontId="23" fillId="70" borderId="17" applyNumberFormat="0" applyProtection="0">
      <alignment horizontal="right" vertical="center"/>
    </xf>
    <xf numFmtId="4" fontId="23" fillId="71" borderId="17" applyNumberFormat="0" applyProtection="0">
      <alignment horizontal="right" vertical="center"/>
    </xf>
    <xf numFmtId="4" fontId="23" fillId="72" borderId="17" applyNumberFormat="0" applyProtection="0">
      <alignment horizontal="right" vertical="center"/>
    </xf>
    <xf numFmtId="4" fontId="23" fillId="73" borderId="17" applyNumberFormat="0" applyProtection="0">
      <alignment horizontal="right" vertical="center"/>
    </xf>
    <xf numFmtId="4" fontId="23" fillId="74" borderId="25" applyNumberFormat="0" applyProtection="0">
      <alignment horizontal="left" vertical="center" indent="1"/>
    </xf>
    <xf numFmtId="4" fontId="12" fillId="75" borderId="25" applyNumberFormat="0" applyProtection="0">
      <alignment horizontal="left" vertical="center" indent="1"/>
    </xf>
    <xf numFmtId="4" fontId="12" fillId="75" borderId="25" applyNumberFormat="0" applyProtection="0">
      <alignment horizontal="left" vertical="center" indent="1"/>
    </xf>
    <xf numFmtId="4" fontId="23" fillId="76" borderId="17" applyNumberFormat="0" applyProtection="0">
      <alignment horizontal="right" vertical="center"/>
    </xf>
    <xf numFmtId="4" fontId="23" fillId="77" borderId="25" applyNumberFormat="0" applyProtection="0">
      <alignment horizontal="left" vertical="center" indent="1"/>
    </xf>
    <xf numFmtId="4" fontId="23" fillId="76" borderId="25" applyNumberFormat="0" applyProtection="0">
      <alignment horizontal="left" vertical="center" indent="1"/>
    </xf>
    <xf numFmtId="0" fontId="23" fillId="78" borderId="17" applyNumberFormat="0" applyProtection="0">
      <alignment horizontal="left" vertical="center" indent="1"/>
    </xf>
    <xf numFmtId="0" fontId="23" fillId="75" borderId="24" applyNumberFormat="0" applyProtection="0">
      <alignment horizontal="left" vertical="top" indent="1"/>
    </xf>
    <xf numFmtId="0" fontId="23" fillId="79" borderId="17" applyNumberFormat="0" applyProtection="0">
      <alignment horizontal="left" vertical="center" indent="1"/>
    </xf>
    <xf numFmtId="0" fontId="23" fillId="76" borderId="24" applyNumberFormat="0" applyProtection="0">
      <alignment horizontal="left" vertical="top" indent="1"/>
    </xf>
    <xf numFmtId="0" fontId="23" fillId="80" borderId="17" applyNumberFormat="0" applyProtection="0">
      <alignment horizontal="left" vertical="center" indent="1"/>
    </xf>
    <xf numFmtId="0" fontId="23" fillId="80" borderId="24" applyNumberFormat="0" applyProtection="0">
      <alignment horizontal="left" vertical="top" indent="1"/>
    </xf>
    <xf numFmtId="0" fontId="23" fillId="77" borderId="17" applyNumberFormat="0" applyProtection="0">
      <alignment horizontal="left" vertical="center" indent="1"/>
    </xf>
    <xf numFmtId="0" fontId="23" fillId="77" borderId="24" applyNumberFormat="0" applyProtection="0">
      <alignment horizontal="left" vertical="top" indent="1"/>
    </xf>
    <xf numFmtId="0" fontId="23" fillId="81" borderId="26" applyNumberFormat="0">
      <protection locked="0"/>
    </xf>
    <xf numFmtId="0" fontId="24" fillId="75" borderId="27" applyBorder="0"/>
    <xf numFmtId="4" fontId="25" fillId="82" borderId="24" applyNumberFormat="0" applyProtection="0">
      <alignment vertical="center"/>
    </xf>
    <xf numFmtId="4" fontId="43" fillId="83" borderId="4" applyNumberFormat="0" applyProtection="0">
      <alignment vertical="center"/>
    </xf>
    <xf numFmtId="4" fontId="25" fillId="78" borderId="24" applyNumberFormat="0" applyProtection="0">
      <alignment horizontal="left" vertical="center" indent="1"/>
    </xf>
    <xf numFmtId="0" fontId="25" fillId="82" borderId="24" applyNumberFormat="0" applyProtection="0">
      <alignment horizontal="left" vertical="top" indent="1"/>
    </xf>
    <xf numFmtId="4" fontId="23" fillId="0" borderId="17" applyNumberFormat="0" applyProtection="0">
      <alignment horizontal="right" vertical="center"/>
    </xf>
    <xf numFmtId="4" fontId="43" fillId="3" borderId="17" applyNumberFormat="0" applyProtection="0">
      <alignment horizontal="right" vertical="center"/>
    </xf>
    <xf numFmtId="4" fontId="23" fillId="64" borderId="17" applyNumberFormat="0" applyProtection="0">
      <alignment horizontal="left" vertical="center" indent="1"/>
    </xf>
    <xf numFmtId="0" fontId="25" fillId="76" borderId="24" applyNumberFormat="0" applyProtection="0">
      <alignment horizontal="left" vertical="top" indent="1"/>
    </xf>
    <xf numFmtId="4" fontId="27" fillId="84" borderId="25" applyNumberFormat="0" applyProtection="0">
      <alignment horizontal="left" vertical="center" indent="1"/>
    </xf>
    <xf numFmtId="0" fontId="23" fillId="85" borderId="4"/>
    <xf numFmtId="4" fontId="28" fillId="81" borderId="17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34" fillId="0" borderId="28" applyNumberFormat="0" applyFill="0" applyAlignment="0" applyProtection="0"/>
    <xf numFmtId="0" fontId="42" fillId="0" borderId="0" applyNumberFormat="0" applyFill="0" applyBorder="0" applyAlignment="0" applyProtection="0"/>
    <xf numFmtId="0" fontId="23" fillId="38" borderId="0"/>
    <xf numFmtId="0" fontId="44" fillId="0" borderId="0"/>
  </cellStyleXfs>
  <cellXfs count="26">
    <xf numFmtId="0" fontId="0" fillId="0" borderId="0" xfId="0"/>
    <xf numFmtId="172" fontId="12" fillId="0" borderId="0" xfId="146" applyNumberFormat="1" applyFont="1" applyBorder="1">
      <alignment horizontal="right" vertical="center"/>
    </xf>
    <xf numFmtId="0" fontId="12" fillId="0" borderId="0" xfId="0" applyFont="1"/>
    <xf numFmtId="0" fontId="12" fillId="0" borderId="6" xfId="0" applyFont="1" applyBorder="1"/>
    <xf numFmtId="0" fontId="12" fillId="0" borderId="8" xfId="0" applyFont="1" applyBorder="1"/>
    <xf numFmtId="0" fontId="20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46" fillId="0" borderId="7" xfId="0" applyFont="1" applyBorder="1"/>
    <xf numFmtId="0" fontId="46" fillId="0" borderId="0" xfId="0" applyFont="1"/>
    <xf numFmtId="0" fontId="47" fillId="0" borderId="9" xfId="0" applyFont="1" applyBorder="1" applyAlignment="1">
      <alignment horizontal="left"/>
    </xf>
    <xf numFmtId="0" fontId="46" fillId="0" borderId="10" xfId="0" applyFont="1" applyBorder="1"/>
    <xf numFmtId="0" fontId="47" fillId="0" borderId="4" xfId="71" applyFont="1" applyFill="1" applyBorder="1"/>
    <xf numFmtId="0" fontId="47" fillId="0" borderId="4" xfId="71" applyFont="1" applyFill="1" applyBorder="1" applyAlignment="1">
      <alignment horizontal="right"/>
    </xf>
    <xf numFmtId="173" fontId="46" fillId="0" borderId="4" xfId="0" applyNumberFormat="1" applyFont="1" applyBorder="1" applyAlignment="1">
      <alignment horizontal="left"/>
    </xf>
    <xf numFmtId="174" fontId="46" fillId="0" borderId="4" xfId="112" applyNumberFormat="1" applyFont="1" applyFill="1" applyBorder="1">
      <alignment vertical="center"/>
    </xf>
    <xf numFmtId="174" fontId="47" fillId="37" borderId="4" xfId="112" applyNumberFormat="1" applyFont="1" applyFill="1" applyBorder="1">
      <alignment vertic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45" fillId="2" borderId="30" xfId="0" applyFont="1" applyFill="1" applyBorder="1" applyAlignment="1">
      <alignment horizontal="center" vertical="center"/>
    </xf>
    <xf numFmtId="0" fontId="45" fillId="2" borderId="29" xfId="0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5" fillId="86" borderId="6" xfId="0" applyFont="1" applyFill="1" applyBorder="1" applyAlignment="1">
      <alignment horizontal="center" vertical="center"/>
    </xf>
    <xf numFmtId="0" fontId="45" fillId="86" borderId="0" xfId="0" applyFont="1" applyFill="1" applyAlignment="1">
      <alignment horizontal="center" vertical="center"/>
    </xf>
  </cellXfs>
  <cellStyles count="158">
    <cellStyle name="20% - Accent1" xfId="33" builtinId="30" hidden="1"/>
    <cellStyle name="20% - Accent2" xfId="37" builtinId="34" hidden="1"/>
    <cellStyle name="20% - Accent3" xfId="41" builtinId="38" hidden="1"/>
    <cellStyle name="20% - Accent4" xfId="45" builtinId="42" hidden="1"/>
    <cellStyle name="20% - Accent5" xfId="49" builtinId="46" hidden="1"/>
    <cellStyle name="20% - Accent6" xfId="53" builtinId="50" hidden="1"/>
    <cellStyle name="40% - Accent1" xfId="34" builtinId="31" hidden="1"/>
    <cellStyle name="40% - Accent2" xfId="38" builtinId="35" hidden="1"/>
    <cellStyle name="40% - Accent3" xfId="42" builtinId="39" hidden="1"/>
    <cellStyle name="40% - Accent4" xfId="46" builtinId="43" hidden="1"/>
    <cellStyle name="40% - Accent5" xfId="50" builtinId="47" hidden="1"/>
    <cellStyle name="40% - Accent6" xfId="54" builtinId="51" hidden="1"/>
    <cellStyle name="60% - Accent1" xfId="35" builtinId="32" hidden="1"/>
    <cellStyle name="60% - Accent2" xfId="39" builtinId="36" hidden="1"/>
    <cellStyle name="60% - Accent3" xfId="43" builtinId="40" hidden="1"/>
    <cellStyle name="60% - Accent4" xfId="47" builtinId="44" hidden="1"/>
    <cellStyle name="60% - Accent5" xfId="51" builtinId="48" hidden="1"/>
    <cellStyle name="60% - Accent6" xfId="55" builtinId="52" hidden="1"/>
    <cellStyle name="Accent1" xfId="32" builtinId="29" hidden="1"/>
    <cellStyle name="Accent1" xfId="72" builtinId="29" customBuiltin="1"/>
    <cellStyle name="Accent1 - 20%" xfId="73" xr:uid="{00000000-0005-0000-0000-000014000000}"/>
    <cellStyle name="Accent1 - 40%" xfId="74" xr:uid="{00000000-0005-0000-0000-000015000000}"/>
    <cellStyle name="Accent1 - 60%" xfId="75" xr:uid="{00000000-0005-0000-0000-000016000000}"/>
    <cellStyle name="Accent2" xfId="36" builtinId="33" hidden="1"/>
    <cellStyle name="Accent2" xfId="76" builtinId="33" customBuiltin="1"/>
    <cellStyle name="Accent2 - 20%" xfId="77" xr:uid="{00000000-0005-0000-0000-000019000000}"/>
    <cellStyle name="Accent2 - 40%" xfId="78" xr:uid="{00000000-0005-0000-0000-00001A000000}"/>
    <cellStyle name="Accent2 - 60%" xfId="79" xr:uid="{00000000-0005-0000-0000-00001B000000}"/>
    <cellStyle name="Accent3" xfId="40" builtinId="37" hidden="1"/>
    <cellStyle name="Accent3" xfId="80" builtinId="37" customBuiltin="1"/>
    <cellStyle name="Accent3 - 20%" xfId="81" xr:uid="{00000000-0005-0000-0000-00001E000000}"/>
    <cellStyle name="Accent3 - 40%" xfId="82" xr:uid="{00000000-0005-0000-0000-00001F000000}"/>
    <cellStyle name="Accent3 - 60%" xfId="83" xr:uid="{00000000-0005-0000-0000-000020000000}"/>
    <cellStyle name="Accent4" xfId="44" builtinId="41" hidden="1"/>
    <cellStyle name="Accent4" xfId="84" builtinId="41" customBuiltin="1"/>
    <cellStyle name="Accent4 - 20%" xfId="85" xr:uid="{00000000-0005-0000-0000-000023000000}"/>
    <cellStyle name="Accent4 - 40%" xfId="86" xr:uid="{00000000-0005-0000-0000-000024000000}"/>
    <cellStyle name="Accent4 - 60%" xfId="87" xr:uid="{00000000-0005-0000-0000-000025000000}"/>
    <cellStyle name="Accent5" xfId="48" builtinId="45" hidden="1"/>
    <cellStyle name="Accent5" xfId="88" builtinId="45" customBuiltin="1"/>
    <cellStyle name="Accent5 - 20%" xfId="89" xr:uid="{00000000-0005-0000-0000-000028000000}"/>
    <cellStyle name="Accent5 - 40%" xfId="90" xr:uid="{00000000-0005-0000-0000-000029000000}"/>
    <cellStyle name="Accent5 - 60%" xfId="91" xr:uid="{00000000-0005-0000-0000-00002A000000}"/>
    <cellStyle name="Accent6" xfId="52" builtinId="49" hidden="1"/>
    <cellStyle name="Accent6" xfId="92" builtinId="49" customBuiltin="1"/>
    <cellStyle name="Accent6 - 20%" xfId="93" xr:uid="{00000000-0005-0000-0000-00002D000000}"/>
    <cellStyle name="Accent6 - 40%" xfId="94" xr:uid="{00000000-0005-0000-0000-00002E000000}"/>
    <cellStyle name="Accent6 - 60%" xfId="95" xr:uid="{00000000-0005-0000-0000-00002F000000}"/>
    <cellStyle name="Bad 2" xfId="96" xr:uid="{00000000-0005-0000-0000-000030000000}"/>
    <cellStyle name="CALC Amount" xfId="7" xr:uid="{00000000-0005-0000-0000-000031000000}"/>
    <cellStyle name="CALC Amount Total" xfId="8" xr:uid="{00000000-0005-0000-0000-000032000000}"/>
    <cellStyle name="CALC Currency" xfId="9" xr:uid="{00000000-0005-0000-0000-000033000000}"/>
    <cellStyle name="CALC Currency Total" xfId="10" xr:uid="{00000000-0005-0000-0000-000034000000}"/>
    <cellStyle name="CALC Date Long" xfId="11" xr:uid="{00000000-0005-0000-0000-000035000000}"/>
    <cellStyle name="CALC Date Short" xfId="12" xr:uid="{00000000-0005-0000-0000-000036000000}"/>
    <cellStyle name="CALC Percent" xfId="13" xr:uid="{00000000-0005-0000-0000-000037000000}"/>
    <cellStyle name="CALC Percent Total" xfId="14" xr:uid="{00000000-0005-0000-0000-000038000000}"/>
    <cellStyle name="Calculation" xfId="63" builtinId="22" hidden="1"/>
    <cellStyle name="Calculation" xfId="97" builtinId="22" customBuiltin="1"/>
    <cellStyle name="CALLUP Amount" xfId="15" xr:uid="{00000000-0005-0000-0000-00003B000000}"/>
    <cellStyle name="CALLUP Amount LINK" xfId="70" xr:uid="{00000000-0005-0000-0000-00003C000000}"/>
    <cellStyle name="CALLUP Date" xfId="69" xr:uid="{00000000-0005-0000-0000-00003D000000}"/>
    <cellStyle name="CALLUP Percent" xfId="16" xr:uid="{00000000-0005-0000-0000-00003E000000}"/>
    <cellStyle name="CALLUP Text" xfId="17" xr:uid="{00000000-0005-0000-0000-00003F000000}"/>
    <cellStyle name="Check" xfId="18" xr:uid="{00000000-0005-0000-0000-000040000000}"/>
    <cellStyle name="Check Cell" xfId="65" builtinId="23" hidden="1"/>
    <cellStyle name="Check Cell" xfId="98" builtinId="23" customBuiltin="1"/>
    <cellStyle name="Comma" xfId="56" builtinId="3" hidden="1"/>
    <cellStyle name="Comma [0]" xfId="57" builtinId="6" hidden="1"/>
    <cellStyle name="Currency" xfId="58" builtinId="4" hidden="1"/>
    <cellStyle name="Currency [0]" xfId="59" builtinId="7" hidden="1"/>
    <cellStyle name="DATA Amount" xfId="19" xr:uid="{00000000-0005-0000-0000-000047000000}"/>
    <cellStyle name="DATA Currency" xfId="20" xr:uid="{00000000-0005-0000-0000-000048000000}"/>
    <cellStyle name="DATA Date Long" xfId="21" xr:uid="{00000000-0005-0000-0000-000049000000}"/>
    <cellStyle name="DATA Date Short" xfId="22" xr:uid="{00000000-0005-0000-0000-00004A000000}"/>
    <cellStyle name="DATA Percent" xfId="23" xr:uid="{00000000-0005-0000-0000-00004B000000}"/>
    <cellStyle name="DATA Text" xfId="24" xr:uid="{00000000-0005-0000-0000-00004C000000}"/>
    <cellStyle name="DATA Version" xfId="25" xr:uid="{00000000-0005-0000-0000-00004D000000}"/>
    <cellStyle name="DescriptionText" xfId="26" xr:uid="{00000000-0005-0000-0000-00004E000000}"/>
    <cellStyle name="Emphasis 1" xfId="99" xr:uid="{00000000-0005-0000-0000-00004F000000}"/>
    <cellStyle name="Emphasis 2" xfId="100" xr:uid="{00000000-0005-0000-0000-000050000000}"/>
    <cellStyle name="Emphasis 3" xfId="101" xr:uid="{00000000-0005-0000-0000-000051000000}"/>
    <cellStyle name="Explanatory Text" xfId="68" builtinId="53" hidden="1"/>
    <cellStyle name="Good 2" xfId="102" xr:uid="{00000000-0005-0000-0000-000053000000}"/>
    <cellStyle name="Heading 1" xfId="2" builtinId="16" customBuiltin="1"/>
    <cellStyle name="Heading 1 2" xfId="103" xr:uid="{00000000-0005-0000-0000-000055000000}"/>
    <cellStyle name="Heading 2" xfId="3" builtinId="17" customBuiltin="1"/>
    <cellStyle name="Heading 2 2" xfId="104" xr:uid="{00000000-0005-0000-0000-000057000000}"/>
    <cellStyle name="Heading 3" xfId="4" builtinId="18" customBuiltin="1"/>
    <cellStyle name="Heading 3 2" xfId="105" xr:uid="{00000000-0005-0000-0000-000059000000}"/>
    <cellStyle name="Heading 4" xfId="5" builtinId="19" hidden="1"/>
    <cellStyle name="Heading 4" xfId="106" builtinId="19" customBuiltin="1"/>
    <cellStyle name="Input" xfId="61" builtinId="20" hidden="1"/>
    <cellStyle name="Input" xfId="107" builtinId="20" customBuiltin="1"/>
    <cellStyle name="LABEL Normal" xfId="27" xr:uid="{00000000-0005-0000-0000-00005E000000}"/>
    <cellStyle name="LABEL Note" xfId="28" xr:uid="{00000000-0005-0000-0000-00005F000000}"/>
    <cellStyle name="LABEL Units" xfId="29" xr:uid="{00000000-0005-0000-0000-000060000000}"/>
    <cellStyle name="Linked Cell" xfId="64" builtinId="24" hidden="1"/>
    <cellStyle name="Linked Cell" xfId="108" builtinId="24" customBuiltin="1"/>
    <cellStyle name="N/A Style" xfId="30" xr:uid="{00000000-0005-0000-0000-000063000000}"/>
    <cellStyle name="Neutral 2" xfId="109" xr:uid="{00000000-0005-0000-0000-000064000000}"/>
    <cellStyle name="Normal" xfId="0" builtinId="0" customBuiltin="1"/>
    <cellStyle name="Normal 2" xfId="71" xr:uid="{00000000-0005-0000-0000-000066000000}"/>
    <cellStyle name="Normal 3" xfId="156" xr:uid="{00000000-0005-0000-0000-000067000000}"/>
    <cellStyle name="Normal 4" xfId="157" xr:uid="{081C6B95-A718-4007-AAD2-DAA73408AE9F}"/>
    <cellStyle name="Note" xfId="67" builtinId="10" hidden="1"/>
    <cellStyle name="Note" xfId="110" builtinId="10" customBuiltin="1"/>
    <cellStyle name="Output" xfId="62" builtinId="21" hidden="1"/>
    <cellStyle name="Output" xfId="111" builtinId="21" customBuiltin="1"/>
    <cellStyle name="Percent" xfId="60" builtinId="5" hidden="1"/>
    <cellStyle name="SAPBEXaggData" xfId="112" xr:uid="{00000000-0005-0000-0000-00006D000000}"/>
    <cellStyle name="SAPBEXaggDataEmph" xfId="113" xr:uid="{00000000-0005-0000-0000-00006E000000}"/>
    <cellStyle name="SAPBEXaggItem" xfId="114" xr:uid="{00000000-0005-0000-0000-00006F000000}"/>
    <cellStyle name="SAPBEXaggItemX" xfId="115" xr:uid="{00000000-0005-0000-0000-000070000000}"/>
    <cellStyle name="SAPBEXchaText" xfId="116" xr:uid="{00000000-0005-0000-0000-000071000000}"/>
    <cellStyle name="SAPBEXexcBad7" xfId="117" xr:uid="{00000000-0005-0000-0000-000072000000}"/>
    <cellStyle name="SAPBEXexcBad8" xfId="118" xr:uid="{00000000-0005-0000-0000-000073000000}"/>
    <cellStyle name="SAPBEXexcBad9" xfId="119" xr:uid="{00000000-0005-0000-0000-000074000000}"/>
    <cellStyle name="SAPBEXexcCritical4" xfId="120" xr:uid="{00000000-0005-0000-0000-000075000000}"/>
    <cellStyle name="SAPBEXexcCritical5" xfId="121" xr:uid="{00000000-0005-0000-0000-000076000000}"/>
    <cellStyle name="SAPBEXexcCritical6" xfId="122" xr:uid="{00000000-0005-0000-0000-000077000000}"/>
    <cellStyle name="SAPBEXexcGood1" xfId="123" xr:uid="{00000000-0005-0000-0000-000078000000}"/>
    <cellStyle name="SAPBEXexcGood2" xfId="124" xr:uid="{00000000-0005-0000-0000-000079000000}"/>
    <cellStyle name="SAPBEXexcGood3" xfId="125" xr:uid="{00000000-0005-0000-0000-00007A000000}"/>
    <cellStyle name="SAPBEXfilterDrill" xfId="126" xr:uid="{00000000-0005-0000-0000-00007B000000}"/>
    <cellStyle name="SAPBEXfilterItem" xfId="127" xr:uid="{00000000-0005-0000-0000-00007C000000}"/>
    <cellStyle name="SAPBEXfilterText" xfId="128" xr:uid="{00000000-0005-0000-0000-00007D000000}"/>
    <cellStyle name="SAPBEXformats" xfId="129" xr:uid="{00000000-0005-0000-0000-00007E000000}"/>
    <cellStyle name="SAPBEXheaderItem" xfId="130" xr:uid="{00000000-0005-0000-0000-00007F000000}"/>
    <cellStyle name="SAPBEXheaderText" xfId="131" xr:uid="{00000000-0005-0000-0000-000080000000}"/>
    <cellStyle name="SAPBEXHLevel0" xfId="132" xr:uid="{00000000-0005-0000-0000-000081000000}"/>
    <cellStyle name="SAPBEXHLevel0X" xfId="133" xr:uid="{00000000-0005-0000-0000-000082000000}"/>
    <cellStyle name="SAPBEXHLevel1" xfId="134" xr:uid="{00000000-0005-0000-0000-000083000000}"/>
    <cellStyle name="SAPBEXHLevel1X" xfId="135" xr:uid="{00000000-0005-0000-0000-000084000000}"/>
    <cellStyle name="SAPBEXHLevel2" xfId="136" xr:uid="{00000000-0005-0000-0000-000085000000}"/>
    <cellStyle name="SAPBEXHLevel2X" xfId="137" xr:uid="{00000000-0005-0000-0000-000086000000}"/>
    <cellStyle name="SAPBEXHLevel3" xfId="138" xr:uid="{00000000-0005-0000-0000-000087000000}"/>
    <cellStyle name="SAPBEXHLevel3X" xfId="139" xr:uid="{00000000-0005-0000-0000-000088000000}"/>
    <cellStyle name="SAPBEXinputData" xfId="140" xr:uid="{00000000-0005-0000-0000-000089000000}"/>
    <cellStyle name="SAPBEXItemHeader" xfId="141" xr:uid="{00000000-0005-0000-0000-00008A000000}"/>
    <cellStyle name="SAPBEXresData" xfId="142" xr:uid="{00000000-0005-0000-0000-00008B000000}"/>
    <cellStyle name="SAPBEXresDataEmph" xfId="143" xr:uid="{00000000-0005-0000-0000-00008C000000}"/>
    <cellStyle name="SAPBEXresItem" xfId="144" xr:uid="{00000000-0005-0000-0000-00008D000000}"/>
    <cellStyle name="SAPBEXresItemX" xfId="145" xr:uid="{00000000-0005-0000-0000-00008E000000}"/>
    <cellStyle name="SAPBEXstdData" xfId="146" xr:uid="{00000000-0005-0000-0000-00008F000000}"/>
    <cellStyle name="SAPBEXstdDataEmph" xfId="147" xr:uid="{00000000-0005-0000-0000-000090000000}"/>
    <cellStyle name="SAPBEXstdItem" xfId="148" xr:uid="{00000000-0005-0000-0000-000091000000}"/>
    <cellStyle name="SAPBEXstdItemX" xfId="149" xr:uid="{00000000-0005-0000-0000-000092000000}"/>
    <cellStyle name="SAPBEXtitle" xfId="150" xr:uid="{00000000-0005-0000-0000-000093000000}"/>
    <cellStyle name="SAPBEXunassignedItem" xfId="151" xr:uid="{00000000-0005-0000-0000-000094000000}"/>
    <cellStyle name="SAPBEXundefined" xfId="152" xr:uid="{00000000-0005-0000-0000-000095000000}"/>
    <cellStyle name="Sheet Title" xfId="153" xr:uid="{00000000-0005-0000-0000-000096000000}"/>
    <cellStyle name="SheetEnd" xfId="31" xr:uid="{00000000-0005-0000-0000-000097000000}"/>
    <cellStyle name="Title" xfId="1" builtinId="15" hidden="1"/>
    <cellStyle name="Total" xfId="6" builtinId="25" hidden="1"/>
    <cellStyle name="Total" xfId="154" builtinId="25" customBuiltin="1"/>
    <cellStyle name="Warning Text" xfId="66" builtinId="11" hidden="1"/>
    <cellStyle name="Warning Text" xfId="155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S">
      <a:dk1>
        <a:srgbClr val="3C3C3C"/>
      </a:dk1>
      <a:lt1>
        <a:srgbClr val="FFFFFF"/>
      </a:lt1>
      <a:dk2>
        <a:srgbClr val="5DC5EA"/>
      </a:dk2>
      <a:lt2>
        <a:srgbClr val="E8E8E8"/>
      </a:lt2>
      <a:accent1>
        <a:srgbClr val="D4DDEA"/>
      </a:accent1>
      <a:accent2>
        <a:srgbClr val="D40058"/>
      </a:accent2>
      <a:accent3>
        <a:srgbClr val="453C90"/>
      </a:accent3>
      <a:accent4>
        <a:srgbClr val="AECC53"/>
      </a:accent4>
      <a:accent5>
        <a:srgbClr val="F7A70B"/>
      </a:accent5>
      <a:accent6>
        <a:srgbClr val="8F6FA0"/>
      </a:accent6>
      <a:hlink>
        <a:srgbClr val="004887"/>
      </a:hlink>
      <a:folHlink>
        <a:srgbClr val="00871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6"/>
  <sheetViews>
    <sheetView showGridLines="0" tabSelected="1" workbookViewId="0">
      <pane xSplit="4" ySplit="8" topLeftCell="E9" activePane="bottomRight" state="frozen"/>
      <selection pane="topRight" activeCell="E1" sqref="E1"/>
      <selection pane="bottomLeft" activeCell="A13" sqref="A13"/>
      <selection pane="bottomRight" activeCell="G39" sqref="G39"/>
    </sheetView>
  </sheetViews>
  <sheetFormatPr defaultColWidth="0" defaultRowHeight="12.5" x14ac:dyDescent="0.25"/>
  <cols>
    <col min="1" max="1" width="6.69921875" style="2" customWidth="1"/>
    <col min="2" max="2" width="42" style="6" bestFit="1" customWidth="1"/>
    <col min="3" max="3" width="33" style="2" bestFit="1" customWidth="1"/>
    <col min="4" max="4" width="14.09765625" style="2" bestFit="1" customWidth="1"/>
    <col min="5" max="7" width="15.3984375" style="2" bestFit="1" customWidth="1"/>
    <col min="8" max="8" width="10.69921875" style="7" customWidth="1"/>
    <col min="9" max="28" width="9.69921875" style="2" customWidth="1"/>
    <col min="29" max="29" width="9.09765625" style="2" bestFit="1" customWidth="1"/>
    <col min="30" max="30" width="7.3984375" style="2" bestFit="1" customWidth="1"/>
    <col min="31" max="47" width="3.69921875" style="2" customWidth="1"/>
    <col min="48" max="55" width="1.69921875" style="2" customWidth="1"/>
    <col min="56" max="62" width="8.796875" style="2" customWidth="1"/>
    <col min="63" max="16384" width="9.09765625" style="2" hidden="1"/>
  </cols>
  <sheetData>
    <row r="1" spans="1:55" ht="16" customHeight="1" x14ac:dyDescent="0.25">
      <c r="A1" s="20" t="s">
        <v>8</v>
      </c>
      <c r="B1" s="21"/>
      <c r="C1" s="21"/>
      <c r="D1" s="21"/>
      <c r="E1" s="21"/>
      <c r="F1" s="21"/>
      <c r="G1" s="21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</row>
    <row r="2" spans="1:55" ht="16" customHeight="1" x14ac:dyDescent="0.25">
      <c r="A2" s="22"/>
      <c r="B2" s="23"/>
      <c r="C2" s="23"/>
      <c r="D2" s="23"/>
      <c r="E2" s="23"/>
      <c r="F2" s="23"/>
      <c r="G2" s="23"/>
    </row>
    <row r="3" spans="1:55" ht="16" customHeight="1" x14ac:dyDescent="0.25">
      <c r="A3" s="24" t="s">
        <v>7</v>
      </c>
      <c r="B3" s="25"/>
      <c r="C3" s="25"/>
      <c r="D3" s="25"/>
      <c r="E3" s="25"/>
      <c r="F3" s="25"/>
      <c r="G3" s="25"/>
    </row>
    <row r="4" spans="1:55" ht="16" customHeight="1" x14ac:dyDescent="0.25">
      <c r="A4" s="24"/>
      <c r="B4" s="25"/>
      <c r="C4" s="25"/>
      <c r="D4" s="25"/>
      <c r="E4" s="25"/>
      <c r="F4" s="25"/>
      <c r="G4" s="25"/>
    </row>
    <row r="5" spans="1:55" ht="16" x14ac:dyDescent="0.4">
      <c r="A5" s="3"/>
      <c r="B5" s="8"/>
      <c r="C5" s="8"/>
      <c r="D5" s="9"/>
      <c r="E5" s="10"/>
      <c r="F5" s="10"/>
      <c r="G5" s="10"/>
    </row>
    <row r="6" spans="1:55" ht="16" x14ac:dyDescent="0.4">
      <c r="A6" s="4"/>
      <c r="B6" s="11" t="s">
        <v>6</v>
      </c>
      <c r="C6" s="11" t="s">
        <v>10</v>
      </c>
      <c r="D6" s="12"/>
      <c r="E6" s="10"/>
      <c r="F6" s="10"/>
      <c r="G6" s="10"/>
    </row>
    <row r="7" spans="1:55" ht="16" x14ac:dyDescent="0.4">
      <c r="B7" s="8"/>
      <c r="C7" s="10" t="s">
        <v>9</v>
      </c>
      <c r="D7" s="10"/>
      <c r="E7" s="10"/>
      <c r="F7" s="10"/>
      <c r="G7" s="10"/>
    </row>
    <row r="8" spans="1:55" ht="16" x14ac:dyDescent="0.4">
      <c r="B8" s="13" t="s">
        <v>4</v>
      </c>
      <c r="C8" s="14" t="s">
        <v>2</v>
      </c>
      <c r="D8" s="14" t="s">
        <v>1</v>
      </c>
      <c r="E8" s="14" t="s">
        <v>0</v>
      </c>
      <c r="F8" s="14" t="s">
        <v>5</v>
      </c>
      <c r="G8" s="14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K8" s="5"/>
      <c r="AM8" s="5"/>
    </row>
    <row r="9" spans="1:55" ht="16" x14ac:dyDescent="0.4">
      <c r="B9" s="15">
        <v>44927</v>
      </c>
      <c r="C9" s="16">
        <f>712.76+55757.55</f>
        <v>56470.310000000005</v>
      </c>
      <c r="D9" s="16">
        <v>12372.21</v>
      </c>
      <c r="E9" s="16">
        <f>27164.14+57506.54</f>
        <v>84670.68</v>
      </c>
      <c r="F9" s="16">
        <v>24246.94</v>
      </c>
      <c r="G9" s="17">
        <f t="shared" ref="G9:G10" si="0">SUM(C9:F9)</f>
        <v>177760.14</v>
      </c>
    </row>
    <row r="10" spans="1:55" ht="16" x14ac:dyDescent="0.4">
      <c r="B10" s="15">
        <v>44958</v>
      </c>
      <c r="C10" s="16">
        <f>1190.23+30796.44</f>
        <v>31986.67</v>
      </c>
      <c r="D10" s="16">
        <v>15117.96</v>
      </c>
      <c r="E10" s="16">
        <f>30820.17+37763.71</f>
        <v>68583.88</v>
      </c>
      <c r="F10" s="16">
        <f>15967.64+2347.4</f>
        <v>18315.04</v>
      </c>
      <c r="G10" s="17">
        <f t="shared" si="0"/>
        <v>134003.55000000002</v>
      </c>
    </row>
    <row r="11" spans="1:55" ht="16" x14ac:dyDescent="0.4">
      <c r="B11" s="15">
        <v>44986</v>
      </c>
      <c r="C11" s="16">
        <f>1232.63+17190.92+9110.44</f>
        <v>27533.989999999998</v>
      </c>
      <c r="D11" s="16">
        <f>15766.68</f>
        <v>15766.68</v>
      </c>
      <c r="E11" s="16">
        <f>51111.39+6710.36+32025.39+913.39</f>
        <v>90760.53</v>
      </c>
      <c r="F11" s="16">
        <f>13172.95</f>
        <v>13172.95</v>
      </c>
      <c r="G11" s="17">
        <f t="shared" ref="G11:G14" si="1">SUM(C11:F11)</f>
        <v>147234.15000000002</v>
      </c>
    </row>
    <row r="12" spans="1:55" ht="16" x14ac:dyDescent="0.4">
      <c r="B12" s="15">
        <v>45017</v>
      </c>
      <c r="C12" s="16">
        <f>2066.85+2833.13+25491.38</f>
        <v>30391.360000000001</v>
      </c>
      <c r="D12" s="16">
        <f>12514.12</f>
        <v>12514.12</v>
      </c>
      <c r="E12" s="16">
        <f>19082.16+3322.44+32571.87+280.4</f>
        <v>55256.87</v>
      </c>
      <c r="F12" s="16">
        <f>4511.47</f>
        <v>4511.47</v>
      </c>
      <c r="G12" s="17">
        <f t="shared" si="1"/>
        <v>102673.82</v>
      </c>
    </row>
    <row r="13" spans="1:55" ht="16" x14ac:dyDescent="0.4">
      <c r="B13" s="15">
        <v>45047</v>
      </c>
      <c r="C13" s="16">
        <f>4268.48+3271.87</f>
        <v>7540.3499999999995</v>
      </c>
      <c r="D13" s="16">
        <f>15816.41</f>
        <v>15816.41</v>
      </c>
      <c r="E13" s="16">
        <f>39299.3</f>
        <v>39299.300000000003</v>
      </c>
      <c r="F13" s="16">
        <f>5839.31</f>
        <v>5839.31</v>
      </c>
      <c r="G13" s="17">
        <f t="shared" si="1"/>
        <v>68495.37</v>
      </c>
    </row>
    <row r="14" spans="1:55" ht="16" x14ac:dyDescent="0.4">
      <c r="B14" s="15">
        <v>45078</v>
      </c>
      <c r="C14" s="16">
        <f>6882.72+46402.84+5330.39+45788.17</f>
        <v>104404.12</v>
      </c>
      <c r="D14" s="16">
        <f>16410</f>
        <v>16410</v>
      </c>
      <c r="E14" s="16">
        <f>40960.24-72.22+64338.19+6251.28+84.4+57891.71</f>
        <v>169453.59999999998</v>
      </c>
      <c r="F14" s="16">
        <f>7682.74</f>
        <v>7682.74</v>
      </c>
      <c r="G14" s="17">
        <f t="shared" si="1"/>
        <v>297950.45999999996</v>
      </c>
    </row>
    <row r="15" spans="1:55" ht="16" x14ac:dyDescent="0.4">
      <c r="B15" s="15">
        <v>45108</v>
      </c>
      <c r="C15" s="16">
        <f>3257.26</f>
        <v>3257.26</v>
      </c>
      <c r="D15" s="16">
        <f>14662.2</f>
        <v>14662.2</v>
      </c>
      <c r="E15" s="16">
        <f>36273.09</f>
        <v>36273.089999999997</v>
      </c>
      <c r="F15" s="16">
        <f>5893.45</f>
        <v>5893.45</v>
      </c>
      <c r="G15" s="17">
        <f t="shared" ref="G15:G22" si="2">SUM(C15:F15)</f>
        <v>60085.999999999993</v>
      </c>
    </row>
    <row r="16" spans="1:55" ht="16" x14ac:dyDescent="0.4">
      <c r="B16" s="15">
        <v>45139</v>
      </c>
      <c r="C16" s="16">
        <f>3483</f>
        <v>3483</v>
      </c>
      <c r="D16" s="16">
        <f>10564.88</f>
        <v>10564.88</v>
      </c>
      <c r="E16" s="16">
        <f>32598.42</f>
        <v>32598.42</v>
      </c>
      <c r="F16" s="16">
        <f>7143.59</f>
        <v>7143.59</v>
      </c>
      <c r="G16" s="17">
        <f t="shared" si="2"/>
        <v>53789.89</v>
      </c>
    </row>
    <row r="17" spans="2:7" ht="16" x14ac:dyDescent="0.4">
      <c r="B17" s="15">
        <v>45170</v>
      </c>
      <c r="C17" s="16">
        <f>2768</f>
        <v>2768</v>
      </c>
      <c r="D17" s="16">
        <f>17036.33</f>
        <v>17036.330000000002</v>
      </c>
      <c r="E17" s="16">
        <f>32911.55</f>
        <v>32911.550000000003</v>
      </c>
      <c r="F17" s="16">
        <f>6663.8</f>
        <v>6663.8</v>
      </c>
      <c r="G17" s="17">
        <f t="shared" si="2"/>
        <v>59379.680000000008</v>
      </c>
    </row>
    <row r="18" spans="2:7" ht="16" x14ac:dyDescent="0.4">
      <c r="B18" s="15">
        <v>45200</v>
      </c>
      <c r="C18" s="16">
        <f>1865.37+45326.03+18496.58+1910.9+913.21+41305.96</f>
        <v>109818.05000000002</v>
      </c>
      <c r="D18" s="16">
        <f>8505.81</f>
        <v>8505.81</v>
      </c>
      <c r="E18" s="16">
        <f>30191.28+23901.52+33007.22+5656.68+7430.05+40999.05</f>
        <v>141185.80000000002</v>
      </c>
      <c r="F18" s="16">
        <f>3933.09</f>
        <v>3933.09</v>
      </c>
      <c r="G18" s="17">
        <f t="shared" si="2"/>
        <v>263442.75000000006</v>
      </c>
    </row>
    <row r="19" spans="2:7" ht="16" x14ac:dyDescent="0.4">
      <c r="B19" s="15">
        <v>45231</v>
      </c>
      <c r="C19" s="16">
        <f>2059.37</f>
        <v>2059.37</v>
      </c>
      <c r="D19" s="16">
        <f>16324.12</f>
        <v>16324.12</v>
      </c>
      <c r="E19" s="16">
        <f>42647.69</f>
        <v>42647.69</v>
      </c>
      <c r="F19" s="16">
        <f>9012.47</f>
        <v>9012.4699999999993</v>
      </c>
      <c r="G19" s="17">
        <f t="shared" si="2"/>
        <v>70043.650000000009</v>
      </c>
    </row>
    <row r="20" spans="2:7" ht="16" x14ac:dyDescent="0.4">
      <c r="B20" s="15">
        <v>45262</v>
      </c>
      <c r="C20" s="16">
        <f>33198.06+625.95</f>
        <v>33824.009999999995</v>
      </c>
      <c r="D20" s="16">
        <v>14009.29</v>
      </c>
      <c r="E20" s="16">
        <f>41967.02+42115.02</f>
        <v>84082.04</v>
      </c>
      <c r="F20" s="16">
        <v>16406.75</v>
      </c>
      <c r="G20" s="17">
        <f t="shared" si="2"/>
        <v>148322.09</v>
      </c>
    </row>
    <row r="21" spans="2:7" ht="16" x14ac:dyDescent="0.4">
      <c r="B21" s="15">
        <v>45294</v>
      </c>
      <c r="C21" s="16">
        <f>108951.45+664.06</f>
        <v>109615.51</v>
      </c>
      <c r="D21" s="16">
        <v>7862.86</v>
      </c>
      <c r="E21" s="16">
        <f>63671.8+26716.67</f>
        <v>90388.47</v>
      </c>
      <c r="F21" s="16">
        <v>23532.69</v>
      </c>
      <c r="G21" s="17">
        <f t="shared" si="2"/>
        <v>231399.53</v>
      </c>
    </row>
    <row r="22" spans="2:7" ht="16" x14ac:dyDescent="0.4">
      <c r="B22" s="15">
        <v>45326</v>
      </c>
      <c r="C22" s="16">
        <f>34965.38+1668.35</f>
        <v>36633.729999999996</v>
      </c>
      <c r="D22" s="16">
        <v>7298.57</v>
      </c>
      <c r="E22" s="16">
        <f>20662.98+32443.95</f>
        <v>53106.93</v>
      </c>
      <c r="F22" s="16">
        <v>16079.89</v>
      </c>
      <c r="G22" s="17">
        <f t="shared" si="2"/>
        <v>113119.12</v>
      </c>
    </row>
    <row r="23" spans="2:7" ht="16" x14ac:dyDescent="0.4">
      <c r="B23" s="15">
        <v>45356</v>
      </c>
      <c r="C23" s="16">
        <f>47800.23+182.75</f>
        <v>47982.98</v>
      </c>
      <c r="D23" s="16">
        <v>15384.69</v>
      </c>
      <c r="E23" s="16">
        <f>32943.97+43446.23</f>
        <v>76390.200000000012</v>
      </c>
      <c r="F23" s="16">
        <v>10911.39</v>
      </c>
      <c r="G23" s="17">
        <f t="shared" ref="G23:G25" si="3">SUM(C23:F23)</f>
        <v>150669.26</v>
      </c>
    </row>
    <row r="24" spans="2:7" ht="16" x14ac:dyDescent="0.4">
      <c r="B24" s="15">
        <v>45388</v>
      </c>
      <c r="C24" s="16">
        <f>57431.82+689</f>
        <v>58120.82</v>
      </c>
      <c r="D24" s="16">
        <v>9293.9599999999991</v>
      </c>
      <c r="E24" s="16">
        <f>40929.95+27218.37</f>
        <v>68148.319999999992</v>
      </c>
      <c r="F24" s="16">
        <v>6415.81</v>
      </c>
      <c r="G24" s="17">
        <f t="shared" si="3"/>
        <v>141978.90999999997</v>
      </c>
    </row>
    <row r="25" spans="2:7" ht="16" x14ac:dyDescent="0.4">
      <c r="B25" s="15">
        <v>45419</v>
      </c>
      <c r="C25" s="16">
        <f>108156.76+1205</f>
        <v>109361.76</v>
      </c>
      <c r="D25" s="16">
        <v>10068.65</v>
      </c>
      <c r="E25" s="16">
        <f>28021.2+36682.02</f>
        <v>64703.22</v>
      </c>
      <c r="F25" s="16">
        <v>11319.36</v>
      </c>
      <c r="G25" s="17">
        <f t="shared" si="3"/>
        <v>195452.99</v>
      </c>
    </row>
    <row r="26" spans="2:7" ht="16" x14ac:dyDescent="0.4">
      <c r="B26" s="15">
        <v>45451</v>
      </c>
      <c r="C26" s="16">
        <f>535+57211.64</f>
        <v>57746.64</v>
      </c>
      <c r="D26" s="16">
        <f>6517.13</f>
        <v>6517.13</v>
      </c>
      <c r="E26" s="16">
        <f>30406.49+32091.5</f>
        <v>62497.990000000005</v>
      </c>
      <c r="F26" s="16">
        <f>6111.56</f>
        <v>6111.56</v>
      </c>
      <c r="G26" s="17">
        <f t="shared" ref="G26:G28" si="4">SUM(C26:F26)</f>
        <v>132873.32</v>
      </c>
    </row>
    <row r="27" spans="2:7" ht="16" x14ac:dyDescent="0.4">
      <c r="B27" s="15">
        <v>45482</v>
      </c>
      <c r="C27" s="16">
        <f>1686.76+37996.57</f>
        <v>39683.33</v>
      </c>
      <c r="D27" s="16">
        <f>11637.36</f>
        <v>11637.36</v>
      </c>
      <c r="E27" s="16">
        <f>32546.79+38517.88</f>
        <v>71064.67</v>
      </c>
      <c r="F27" s="16">
        <f>7229.82</f>
        <v>7229.82</v>
      </c>
      <c r="G27" s="17">
        <f t="shared" si="4"/>
        <v>129615.18</v>
      </c>
    </row>
    <row r="28" spans="2:7" ht="16" x14ac:dyDescent="0.4">
      <c r="B28" s="15">
        <v>45514</v>
      </c>
      <c r="C28" s="16">
        <f>190</f>
        <v>190</v>
      </c>
      <c r="D28" s="16">
        <f>10584.12</f>
        <v>10584.12</v>
      </c>
      <c r="E28" s="16">
        <f>38401.36</f>
        <v>38401.360000000001</v>
      </c>
      <c r="F28" s="16">
        <f>14826.15</f>
        <v>14826.15</v>
      </c>
      <c r="G28" s="17">
        <f t="shared" si="4"/>
        <v>64001.630000000005</v>
      </c>
    </row>
    <row r="29" spans="2:7" ht="16" x14ac:dyDescent="0.4">
      <c r="B29" s="15">
        <v>45546</v>
      </c>
      <c r="C29" s="16">
        <f>61298.73+2479.9</f>
        <v>63778.630000000005</v>
      </c>
      <c r="D29" s="16">
        <v>6612.25</v>
      </c>
      <c r="E29" s="16">
        <f>47733.78+26510.3</f>
        <v>74244.08</v>
      </c>
      <c r="F29" s="16">
        <v>6653.16</v>
      </c>
      <c r="G29" s="17">
        <f t="shared" ref="G29:G31" si="5">SUM(C29:F29)</f>
        <v>151288.12000000002</v>
      </c>
    </row>
    <row r="30" spans="2:7" ht="16" x14ac:dyDescent="0.4">
      <c r="B30" s="15">
        <v>45577</v>
      </c>
      <c r="C30" s="16">
        <f>31753.14+2594</f>
        <v>34347.14</v>
      </c>
      <c r="D30" s="16">
        <v>11222.95</v>
      </c>
      <c r="E30" s="16">
        <f>27301.12+32504.9</f>
        <v>59806.020000000004</v>
      </c>
      <c r="F30" s="16">
        <v>6747.14</v>
      </c>
      <c r="G30" s="17">
        <f t="shared" si="5"/>
        <v>112123.25</v>
      </c>
    </row>
    <row r="31" spans="2:7" ht="16" x14ac:dyDescent="0.4">
      <c r="B31" s="15">
        <v>45609</v>
      </c>
      <c r="C31" s="16">
        <f>64051.85+249.35</f>
        <v>64301.2</v>
      </c>
      <c r="D31" s="16">
        <v>10567.86</v>
      </c>
      <c r="E31" s="16">
        <f>54577.19+35459.7</f>
        <v>90036.89</v>
      </c>
      <c r="F31" s="16">
        <v>7248.54</v>
      </c>
      <c r="G31" s="17">
        <f t="shared" si="5"/>
        <v>172154.49000000002</v>
      </c>
    </row>
    <row r="32" spans="2:7" ht="16" x14ac:dyDescent="0.4">
      <c r="B32" s="15">
        <v>45627</v>
      </c>
      <c r="C32" s="16">
        <v>2069.54</v>
      </c>
      <c r="D32" s="16">
        <v>9034.11</v>
      </c>
      <c r="E32" s="16">
        <v>29644.98</v>
      </c>
      <c r="F32" s="16">
        <v>13865.36</v>
      </c>
      <c r="G32" s="17">
        <f t="shared" ref="G32:G37" si="6">SUM(C32:F32)</f>
        <v>54613.990000000005</v>
      </c>
    </row>
    <row r="33" spans="2:7" ht="16" x14ac:dyDescent="0.4">
      <c r="B33" s="15">
        <v>45658</v>
      </c>
      <c r="C33" s="16">
        <f>30048.06+46.71</f>
        <v>30094.77</v>
      </c>
      <c r="D33" s="16">
        <v>5585.33</v>
      </c>
      <c r="E33" s="16">
        <f>31808.4+27107.41</f>
        <v>58915.81</v>
      </c>
      <c r="F33" s="16">
        <v>23623.63</v>
      </c>
      <c r="G33" s="17">
        <f t="shared" si="6"/>
        <v>118219.54000000001</v>
      </c>
    </row>
    <row r="34" spans="2:7" ht="16" x14ac:dyDescent="0.4">
      <c r="B34" s="15">
        <v>45689</v>
      </c>
      <c r="C34" s="16">
        <f>36373.79</f>
        <v>36373.79</v>
      </c>
      <c r="D34" s="16">
        <v>6413.93</v>
      </c>
      <c r="E34" s="16">
        <f>49884.2+29729.09</f>
        <v>79613.289999999994</v>
      </c>
      <c r="F34" s="16">
        <v>13971.95</v>
      </c>
      <c r="G34" s="17">
        <f t="shared" si="6"/>
        <v>136372.96</v>
      </c>
    </row>
    <row r="35" spans="2:7" ht="16" x14ac:dyDescent="0.4">
      <c r="B35" s="15">
        <v>45717</v>
      </c>
      <c r="C35" s="16">
        <v>694.67</v>
      </c>
      <c r="D35" s="16">
        <v>8913.31</v>
      </c>
      <c r="E35" s="16">
        <v>36842.04</v>
      </c>
      <c r="F35" s="16">
        <v>10570.54</v>
      </c>
      <c r="G35" s="17">
        <f t="shared" si="6"/>
        <v>57020.560000000005</v>
      </c>
    </row>
    <row r="36" spans="2:7" ht="16" x14ac:dyDescent="0.4">
      <c r="B36" s="15">
        <v>45748</v>
      </c>
      <c r="C36" s="16">
        <f>110+23420.97</f>
        <v>23530.97</v>
      </c>
      <c r="D36" s="16">
        <v>5147.82</v>
      </c>
      <c r="E36" s="16">
        <f>27376.08+21666.79</f>
        <v>49042.87</v>
      </c>
      <c r="F36" s="16">
        <v>4612.78</v>
      </c>
      <c r="G36" s="17">
        <f t="shared" si="6"/>
        <v>82334.44</v>
      </c>
    </row>
    <row r="37" spans="2:7" ht="16" x14ac:dyDescent="0.4">
      <c r="B37" s="15">
        <v>45778</v>
      </c>
      <c r="C37" s="16">
        <f>56336.18+2491.15</f>
        <v>58827.33</v>
      </c>
      <c r="D37" s="16">
        <v>8914.26</v>
      </c>
      <c r="E37" s="16">
        <f>47481.13+33592.01</f>
        <v>81073.14</v>
      </c>
      <c r="F37" s="16">
        <v>5859.53</v>
      </c>
      <c r="G37" s="17">
        <f t="shared" si="6"/>
        <v>154674.25999999998</v>
      </c>
    </row>
    <row r="38" spans="2:7" ht="16" x14ac:dyDescent="0.4">
      <c r="B38" s="15">
        <v>45810</v>
      </c>
      <c r="C38" s="16">
        <f>31743.25+570</f>
        <v>32313.25</v>
      </c>
      <c r="D38" s="16">
        <v>8645.44</v>
      </c>
      <c r="E38" s="16">
        <f>25644.43+32114.85</f>
        <v>57759.28</v>
      </c>
      <c r="F38" s="16">
        <v>8131.68</v>
      </c>
      <c r="G38" s="17">
        <f t="shared" ref="G38:G43" si="7">SUM(C38:F38)</f>
        <v>106849.65</v>
      </c>
    </row>
    <row r="39" spans="2:7" ht="16" x14ac:dyDescent="0.4">
      <c r="B39" s="15">
        <v>45841</v>
      </c>
      <c r="C39" s="16">
        <v>306.27999999999997</v>
      </c>
      <c r="D39" s="16">
        <v>9176.4699999999993</v>
      </c>
      <c r="E39" s="16">
        <v>25094.73</v>
      </c>
      <c r="F39" s="16">
        <v>4385.45</v>
      </c>
      <c r="G39" s="17">
        <f t="shared" si="7"/>
        <v>38962.929999999993</v>
      </c>
    </row>
    <row r="40" spans="2:7" ht="16" x14ac:dyDescent="0.4">
      <c r="B40" s="15">
        <v>45873</v>
      </c>
      <c r="C40" s="16">
        <f>25644.12+2392.44</f>
        <v>28036.559999999998</v>
      </c>
      <c r="D40" s="16">
        <v>9229.6</v>
      </c>
      <c r="E40" s="16">
        <f>16579.71+22847.43</f>
        <v>39427.14</v>
      </c>
      <c r="F40" s="16">
        <v>7415.12</v>
      </c>
      <c r="G40" s="17">
        <f t="shared" si="7"/>
        <v>84108.419999999984</v>
      </c>
    </row>
    <row r="41" spans="2:7" ht="16" x14ac:dyDescent="0.4">
      <c r="B41" s="15">
        <v>45905</v>
      </c>
      <c r="C41" s="16">
        <f>1225.05+17867.58</f>
        <v>19092.63</v>
      </c>
      <c r="D41" s="16">
        <f>5012.96</f>
        <v>5012.96</v>
      </c>
      <c r="E41" s="16">
        <f>18369.39+10349.04</f>
        <v>28718.43</v>
      </c>
      <c r="F41" s="16">
        <f>4738.55</f>
        <v>4738.55</v>
      </c>
      <c r="G41" s="17">
        <f t="shared" si="7"/>
        <v>57562.570000000007</v>
      </c>
    </row>
    <row r="42" spans="2:7" ht="16" x14ac:dyDescent="0.4">
      <c r="B42" s="15">
        <v>45936</v>
      </c>
      <c r="C42" s="16">
        <f>990+23015.56</f>
        <v>24005.56</v>
      </c>
      <c r="D42" s="16">
        <f>10136.78</f>
        <v>10136.780000000001</v>
      </c>
      <c r="E42" s="16">
        <f>28135.11+26352.68</f>
        <v>54487.79</v>
      </c>
      <c r="F42" s="16">
        <f>7629.26</f>
        <v>7629.26</v>
      </c>
      <c r="G42" s="17">
        <f t="shared" si="7"/>
        <v>96259.39</v>
      </c>
    </row>
    <row r="43" spans="2:7" ht="16" x14ac:dyDescent="0.4">
      <c r="B43" s="15">
        <v>45968</v>
      </c>
      <c r="C43" s="16">
        <f>560+52377.89</f>
        <v>52937.89</v>
      </c>
      <c r="D43" s="16">
        <f>10784.02</f>
        <v>10784.02</v>
      </c>
      <c r="E43" s="16">
        <f>27543.01+38011.46</f>
        <v>65554.47</v>
      </c>
      <c r="F43" s="16">
        <f>8585.56</f>
        <v>8585.56</v>
      </c>
      <c r="G43" s="17">
        <f t="shared" si="7"/>
        <v>137861.94</v>
      </c>
    </row>
    <row r="44" spans="2:7" ht="16" x14ac:dyDescent="0.4">
      <c r="B44" s="15">
        <v>45999</v>
      </c>
      <c r="C44" s="16">
        <f>1146.7+33206.8</f>
        <v>34353.5</v>
      </c>
      <c r="D44" s="16">
        <f>9618.48</f>
        <v>9618.48</v>
      </c>
      <c r="E44" s="16">
        <f>25423.45+19756.3</f>
        <v>45179.75</v>
      </c>
      <c r="F44" s="16">
        <f>10525.77</f>
        <v>10525.77</v>
      </c>
      <c r="G44" s="17">
        <f t="shared" ref="G44:G46" si="8">SUM(C44:F44)</f>
        <v>99677.5</v>
      </c>
    </row>
    <row r="45" spans="2:7" ht="16" x14ac:dyDescent="0.4">
      <c r="B45" s="15">
        <v>46031</v>
      </c>
      <c r="C45" s="16">
        <f>474.6+15228.42</f>
        <v>15703.02</v>
      </c>
      <c r="D45" s="16">
        <f>5939.71</f>
        <v>5939.71</v>
      </c>
      <c r="E45" s="16">
        <f>20741.14+13027.17</f>
        <v>33768.31</v>
      </c>
      <c r="F45" s="16">
        <f>21492.28</f>
        <v>21492.28</v>
      </c>
      <c r="G45" s="17">
        <f t="shared" si="8"/>
        <v>76903.319999999992</v>
      </c>
    </row>
    <row r="46" spans="2:7" ht="16" x14ac:dyDescent="0.4">
      <c r="B46" s="15">
        <v>46063</v>
      </c>
      <c r="C46" s="16">
        <v>20280.39</v>
      </c>
      <c r="D46" s="16">
        <f>7389.38</f>
        <v>7389.38</v>
      </c>
      <c r="E46" s="16">
        <f>22295.23+26364.49</f>
        <v>48659.72</v>
      </c>
      <c r="F46" s="16">
        <f>20099.01</f>
        <v>20099.009999999998</v>
      </c>
      <c r="G46" s="17">
        <f t="shared" si="8"/>
        <v>96428.5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horizontalDpi="1200" verticalDpi="1200" r:id="rId1"/>
  <ignoredErrors>
    <ignoredError sqref="G8 G32 G35 G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Accom Subs &amp; Travel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2026-04-07T08:03:04Z</dcterms:created>
  <dcterms:modified xsi:type="dcterms:W3CDTF">2026-04-07T08:04:30Z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c48dd-5a9b-44cb-83c5-6df51ed77cb7_Enabled">
    <vt:lpwstr>true</vt:lpwstr>
  </property>
  <property fmtid="{D5CDD505-2E9C-101B-9397-08002B2CF9AE}" pid="3" name="MSIP_Label_ddcc48dd-5a9b-44cb-83c5-6df51ed77cb7_SetDate">
    <vt:lpwstr>2026-04-07T08:04:26Z</vt:lpwstr>
  </property>
  <property fmtid="{D5CDD505-2E9C-101B-9397-08002B2CF9AE}" pid="4" name="MSIP_Label_ddcc48dd-5a9b-44cb-83c5-6df51ed77cb7_Method">
    <vt:lpwstr>Privileged</vt:lpwstr>
  </property>
  <property fmtid="{D5CDD505-2E9C-101B-9397-08002B2CF9AE}" pid="5" name="MSIP_Label_ddcc48dd-5a9b-44cb-83c5-6df51ed77cb7_Name">
    <vt:lpwstr>ddcc48dd-5a9b-44cb-83c5-6df51ed77cb7</vt:lpwstr>
  </property>
  <property fmtid="{D5CDD505-2E9C-101B-9397-08002B2CF9AE}" pid="6" name="MSIP_Label_ddcc48dd-5a9b-44cb-83c5-6df51ed77cb7_SiteId">
    <vt:lpwstr>7988742d-c543-4b9a-87a9-10a7b354d289</vt:lpwstr>
  </property>
  <property fmtid="{D5CDD505-2E9C-101B-9397-08002B2CF9AE}" pid="7" name="MSIP_Label_ddcc48dd-5a9b-44cb-83c5-6df51ed77cb7_ActionId">
    <vt:lpwstr>1cf580cd-1f74-4f43-8282-2d1edbfe88a6</vt:lpwstr>
  </property>
  <property fmtid="{D5CDD505-2E9C-101B-9397-08002B2CF9AE}" pid="8" name="MSIP_Label_ddcc48dd-5a9b-44cb-83c5-6df51ed77cb7_ContentBits">
    <vt:lpwstr>0</vt:lpwstr>
  </property>
  <property fmtid="{D5CDD505-2E9C-101B-9397-08002B2CF9AE}" pid="9" name="MSIP_Label_ddcc48dd-5a9b-44cb-83c5-6df51ed77cb7_Tag">
    <vt:lpwstr>10, 0, 1, 1</vt:lpwstr>
  </property>
</Properties>
</file>