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7531"/>
  <workbookPr codeName="ThisWorkbook"/>
  <bookViews>
    <workbookView xWindow="22932" yWindow="-108" windowWidth="30936" windowHeight="16896"/>
  </bookViews>
  <sheets>
    <sheet name="CURRENT Accom Subs &amp; Travel" sheetId="5" r:id="rId1"/>
  </sheets>
  <definedNames>
    <definedName name="OSTemplate" comment="">TRUE</definedName>
  </definedNames>
  <calcPr fullPrecision="1"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<sst xmlns="http://schemas.openxmlformats.org/spreadsheetml/2006/main" uniqueCount="11" count="11">
  <si>
    <t>Travel</t>
  </si>
  <si>
    <t>Subsistence</t>
  </si>
  <si>
    <t>Accommodation</t>
  </si>
  <si>
    <t>TOTAL</t>
  </si>
  <si>
    <t>Month</t>
  </si>
  <si>
    <t>Other</t>
  </si>
  <si>
    <t>All Staff</t>
  </si>
  <si>
    <t>Transparency Data</t>
  </si>
  <si>
    <t>Accommodation, Subsistence and Travel</t>
  </si>
  <si>
    <t>.</t>
  </si>
  <si>
    <t>April 2015 to February 2024  inclusive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</si>
</sst>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5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);[Red]\(#,##0\);&quot;-&quot;_);[Blue]&quot;Error-&quot;@"/>
    <numFmt numFmtId="165" formatCode="&quot;£&quot;* #,##0_);[Red]&quot;£&quot;* \(#,##0\);&quot;£&quot;* &quot;-&quot;_);[Blue]&quot;Error-&quot;@"/>
    <numFmt numFmtId="166" formatCode="dd\ mmm\ yyyy_)"/>
    <numFmt numFmtId="167" formatCode="dd/mm/yy_)"/>
    <numFmt numFmtId="168" formatCode="0%_);[Red]\-0%_);0%_);[Blue]&quot;Error-&quot;@"/>
    <numFmt numFmtId="169" formatCode="&quot;Error&quot;;&quot;Error&quot;;&quot;OK&quot;"/>
    <numFmt numFmtId="170" formatCode="000"/>
    <numFmt numFmtId="171" formatCode="#,##0_);\(#,##0\);&quot;-&quot;_);[Blue]&quot;Error-&quot;@"/>
    <numFmt numFmtId="172" formatCode="&quot;£&quot;\ #,##0"/>
    <numFmt numFmtId="173" formatCode="mmmm\ yyyy"/>
    <numFmt numFmtId="174" formatCode="&quot;£&quot;\ #,##0.00"/>
  </numFmts>
  <fonts count="45">
    <font>
      <sz val="9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8"/>
      <color theme="3"/>
      <name val="Cambria"/>
      <family val="2"/>
      <charset val="0"/>
      <scheme val="major"/>
    </font>
    <font>
      <b/>
      <sz val="11"/>
      <color theme="3"/>
      <name val="Calibri"/>
      <family val="2"/>
      <charset val="0"/>
      <scheme val="minor"/>
    </font>
    <font>
      <sz val="9"/>
      <name val="Arial"/>
      <family val="2"/>
      <charset val="0"/>
    </font>
    <font>
      <b/>
      <sz val="11"/>
      <color theme="1"/>
      <name val="Calibri"/>
      <family val="2"/>
      <charset val="0"/>
      <scheme val="minor"/>
    </font>
    <font>
      <sz val="10"/>
      <color theme="0"/>
      <name val="Arial"/>
      <family val="2"/>
      <charset val="0"/>
    </font>
    <font>
      <sz val="8"/>
      <color indexed="12"/>
      <name val="Arial"/>
      <family val="2"/>
      <charset val="0"/>
    </font>
    <font>
      <i/>
      <sz val="10"/>
      <color rgb="FF7F7F7F"/>
      <name val="Calibri"/>
      <family val="2"/>
      <charset val="0"/>
      <scheme val="minor"/>
    </font>
    <font>
      <i/>
      <sz val="8"/>
      <color indexed="62"/>
      <name val="Arial"/>
      <family val="2"/>
      <charset val="0"/>
    </font>
    <font>
      <sz val="8"/>
      <color indexed="20"/>
      <name val="Arial"/>
      <family val="2"/>
      <charset val="0"/>
    </font>
    <font>
      <sz val="11"/>
      <color theme="0"/>
      <name val="Calibri"/>
      <family val="2"/>
      <charset val="0"/>
      <scheme val="minor"/>
    </font>
    <font>
      <sz val="10"/>
      <name val="Arial"/>
      <family val="2"/>
      <charset val="0"/>
    </font>
    <font>
      <sz val="11"/>
      <color rgb="FF3F3F76"/>
      <name val="Calibri"/>
      <family val="2"/>
      <charset val="0"/>
      <scheme val="minor"/>
    </font>
    <font>
      <b/>
      <sz val="11"/>
      <color rgb="FF3F3F3F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  <font>
      <sz val="11"/>
      <color rgb="FFFA7D00"/>
      <name val="Calibri"/>
      <family val="2"/>
      <charset val="0"/>
      <scheme val="minor"/>
    </font>
    <font>
      <b/>
      <sz val="11"/>
      <color theme="0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i/>
      <sz val="11"/>
      <color rgb="FF7F7F7F"/>
      <name val="Calibri"/>
      <family val="2"/>
      <charset val="0"/>
      <scheme val="minor"/>
    </font>
    <font>
      <b/>
      <sz val="10"/>
      <name val="Arial"/>
      <family val="2"/>
      <charset val="0"/>
    </font>
    <font>
      <sz val="9"/>
      <color rgb="FF0070C0"/>
      <name val="Arial"/>
      <family val="2"/>
      <charset val="0"/>
    </font>
    <font>
      <b/>
      <sz val="11"/>
      <color theme="0"/>
      <name val="Arial"/>
      <family val="2"/>
      <charset val="0"/>
    </font>
    <font>
      <b/>
      <sz val="10"/>
      <color theme="0"/>
      <name val="Arial"/>
      <family val="2"/>
      <charset val="0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sz val="8"/>
      <color indexed="8"/>
      <name val="Arial"/>
      <family val="2"/>
      <charset val="0"/>
    </font>
    <font>
      <b/>
      <sz val="8"/>
      <color indexed="8"/>
      <name val="Arial"/>
      <family val="2"/>
      <charset val="0"/>
    </font>
    <font>
      <sz val="19"/>
      <name val="Arial"/>
      <family val="2"/>
      <charset val="0"/>
    </font>
    <font>
      <sz val="8"/>
      <color indexed="14"/>
      <name val="Arial"/>
      <family val="2"/>
      <charset val="0"/>
    </font>
    <font>
      <sz val="11"/>
      <color indexed="9"/>
      <name val="Calibri"/>
      <family val="2"/>
      <charset val="0"/>
    </font>
    <font>
      <sz val="11"/>
      <color indexed="8"/>
      <name val="Calibri"/>
      <family val="2"/>
      <charset val="0"/>
    </font>
    <font>
      <sz val="11"/>
      <color indexed="37"/>
      <name val="Calibri"/>
      <family val="2"/>
      <charset val="0"/>
    </font>
    <font>
      <b/>
      <sz val="11"/>
      <color indexed="17"/>
      <name val="Calibri"/>
      <family val="2"/>
      <charset val="0"/>
    </font>
    <font>
      <b/>
      <sz val="11"/>
      <color indexed="9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5"/>
      <color indexed="62"/>
      <name val="Calibri"/>
      <family val="2"/>
      <charset val="0"/>
    </font>
    <font>
      <b/>
      <sz val="13"/>
      <color indexed="62"/>
      <name val="Calibri"/>
      <family val="2"/>
      <charset val="0"/>
    </font>
    <font>
      <b/>
      <sz val="11"/>
      <color indexed="62"/>
      <name val="Calibri"/>
      <family val="2"/>
      <charset val="0"/>
    </font>
    <font>
      <sz val="11"/>
      <color indexed="48"/>
      <name val="Calibri"/>
      <family val="2"/>
      <charset val="0"/>
    </font>
    <font>
      <sz val="11"/>
      <color indexed="17"/>
      <name val="Calibri"/>
      <family val="2"/>
      <charset val="0"/>
    </font>
    <font>
      <b/>
      <sz val="11"/>
      <color indexed="63"/>
      <name val="Calibri"/>
      <family val="2"/>
      <charset val="0"/>
    </font>
    <font>
      <b/>
      <sz val="18"/>
      <color indexed="62"/>
      <name val="Cambria"/>
      <family val="2"/>
      <charset val="0"/>
    </font>
    <font>
      <sz val="11"/>
      <color indexed="14"/>
      <name val="Calibri"/>
      <family val="2"/>
      <charset val="0"/>
    </font>
    <font>
      <sz val="8"/>
      <color indexed="62"/>
      <name val="Arial"/>
      <family val="2"/>
      <charset val="0"/>
    </font>
  </fonts>
  <fills count="8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rgb="FF808285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FFCC"/>
        <bgColor indexed="65"/>
      </patternFill>
    </fill>
    <fill>
      <patternFill patternType="solid">
        <fgColor indexed="60"/>
        <bgColor indexed="6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1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0"/>
        <bgColor indexed="65"/>
      </patternFill>
    </fill>
    <fill>
      <patternFill patternType="solid">
        <fgColor indexed="11"/>
        <bgColor indexed="65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5"/>
      </patternFill>
    </fill>
    <fill>
      <patternFill patternType="solid">
        <fgColor indexed="40"/>
        <bgColor indexed="65"/>
      </patternFill>
    </fill>
    <fill>
      <patternFill patternType="solid">
        <fgColor indexed="41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23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2">
    <xf numFmtId="0" fontId="0" fillId="0" borderId="0"/>
    <xf numFmtId="0" fontId="2" fillId="0" borderId="0" applyAlignment="0" applyBorder="0" applyNumberFormat="0" applyFill="0" applyProtection="0"/>
    <xf numFmtId="0" fontId="22" fillId="2" borderId="0"/>
    <xf numFmtId="0" fontId="20" fillId="3" borderId="0"/>
    <xf numFmtId="0" fontId="20" fillId="0" borderId="0"/>
    <xf numFmtId="0" fontId="3" fillId="0" borderId="0" applyAlignment="0" applyBorder="0" applyNumberFormat="0" applyFill="0" applyProtection="0"/>
    <xf numFmtId="0" fontId="5" fillId="0" borderId="1" applyAlignment="0" applyNumberFormat="0" applyFill="0" applyProtection="0"/>
    <xf numFmtId="164" fontId="0" fillId="0" borderId="0"/>
    <xf numFmtId="164" fontId="0" fillId="0" borderId="2"/>
    <xf numFmtId="165" fontId="0" fillId="0" borderId="0"/>
    <xf numFmtId="165" fontId="0" fillId="0" borderId="2"/>
    <xf numFmtId="166" fontId="0" fillId="0" borderId="0">
      <alignment horizontal="right"/>
      <protection locked="0"/>
    </xf>
    <xf numFmtId="167" fontId="0" fillId="0" borderId="0">
      <alignment horizontal="right"/>
    </xf>
    <xf numFmtId="168" fontId="0" fillId="0" borderId="0"/>
    <xf numFmtId="168" fontId="0" fillId="0" borderId="2"/>
    <xf numFmtId="164" fontId="0" fillId="4" borderId="3"/>
    <xf numFmtId="168" fontId="0" fillId="4" borderId="3"/>
    <xf numFmtId="0" fontId="0" fillId="4" borderId="3"/>
    <xf numFmtId="169" fontId="7" fillId="0" borderId="4">
      <alignment horizontal="center"/>
    </xf>
    <xf numFmtId="164" fontId="0" fillId="5" borderId="5">
      <protection locked="0"/>
    </xf>
    <xf numFmtId="165" fontId="0" fillId="5" borderId="5">
      <protection locked="0"/>
    </xf>
    <xf numFmtId="166" fontId="0" fillId="6" borderId="5">
      <alignment horizontal="right"/>
      <protection locked="0"/>
    </xf>
    <xf numFmtId="167" fontId="0" fillId="5" borderId="5">
      <alignment horizontal="right"/>
      <protection locked="0"/>
    </xf>
    <xf numFmtId="168" fontId="0" fillId="5" borderId="5">
      <protection locked="0"/>
    </xf>
    <xf numFmtId="0" fontId="0" fillId="7" borderId="5">
      <alignment horizontal="left"/>
      <protection locked="0"/>
    </xf>
    <xf numFmtId="170" fontId="0" fillId="5" borderId="5">
      <alignment horizontal="left" indent="1"/>
      <protection locked="0"/>
    </xf>
    <xf numFmtId="0" fontId="8" fillId="0" borderId="0"/>
    <xf numFmtId="0" fontId="0" fillId="0" borderId="0"/>
    <xf numFmtId="0" fontId="9" fillId="0" borderId="0"/>
    <xf numFmtId="0" fontId="10" fillId="0" borderId="0">
      <alignment horizontal="center"/>
    </xf>
    <xf numFmtId="0" fontId="0" fillId="8" borderId="0" applyAlignment="0" applyBorder="0" applyFont="0" applyNumberFormat="0"/>
    <xf numFmtId="0" fontId="6" fillId="9" borderId="6"/>
    <xf numFmtId="0" fontId="11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1" fillId="13" borderId="0" applyAlignment="0" applyBorder="0" applyNumberFormat="0" applyProtection="0"/>
    <xf numFmtId="0" fontId="11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1" fillId="17" borderId="0" applyAlignment="0" applyBorder="0" applyNumberFormat="0" applyProtection="0"/>
    <xf numFmtId="0" fontId="11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1" fillId="21" borderId="0" applyAlignment="0" applyBorder="0" applyNumberFormat="0" applyProtection="0"/>
    <xf numFmtId="0" fontId="11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1" fillId="25" borderId="0" applyAlignment="0" applyBorder="0" applyNumberFormat="0" applyProtection="0"/>
    <xf numFmtId="0" fontId="11" fillId="26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1" fillId="29" borderId="0" applyAlignment="0" applyBorder="0" applyNumberFormat="0" applyProtection="0"/>
    <xf numFmtId="0" fontId="11" fillId="30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1" fillId="33" borderId="0" applyAlignment="0" applyBorder="0" applyNumberFormat="0" applyProtection="0"/>
    <xf numFmtId="43" fontId="12" fillId="0" borderId="0" applyAlignment="0" applyBorder="0" applyFont="0" applyFill="0" applyProtection="0"/>
    <xf numFmtId="41" fontId="12" fillId="0" borderId="0" applyAlignment="0" applyBorder="0" applyFont="0" applyFill="0" applyProtection="0"/>
    <xf numFmtId="44" fontId="12" fillId="0" borderId="0" applyAlignment="0" applyBorder="0" applyFont="0" applyFill="0" applyProtection="0"/>
    <xf numFmtId="42" fontId="12" fillId="0" borderId="0" applyAlignment="0" applyBorder="0" applyFont="0" applyFill="0" applyProtection="0"/>
    <xf numFmtId="9" fontId="12" fillId="0" borderId="0" applyAlignment="0" applyBorder="0" applyFont="0" applyFill="0" applyProtection="0"/>
    <xf numFmtId="0" fontId="13" fillId="34" borderId="7" applyAlignment="0" applyNumberFormat="0" applyProtection="0"/>
    <xf numFmtId="0" fontId="14" fillId="35" borderId="8" applyAlignment="0" applyNumberFormat="0" applyProtection="0"/>
    <xf numFmtId="0" fontId="15" fillId="35" borderId="7" applyAlignment="0" applyNumberFormat="0" applyProtection="0"/>
    <xf numFmtId="0" fontId="16" fillId="0" borderId="9" applyAlignment="0" applyNumberFormat="0" applyFill="0" applyProtection="0"/>
    <xf numFmtId="0" fontId="17" fillId="36" borderId="10" applyAlignment="0" applyNumberFormat="0" applyProtection="0"/>
    <xf numFmtId="0" fontId="18" fillId="0" borderId="0" applyAlignment="0" applyBorder="0" applyNumberFormat="0" applyFill="0" applyProtection="0"/>
    <xf numFmtId="0" fontId="12" fillId="37" borderId="11" applyAlignment="0" applyFont="0" applyNumberFormat="0" applyProtection="0"/>
    <xf numFmtId="0" fontId="19" fillId="0" borderId="0" applyAlignment="0" applyBorder="0" applyNumberFormat="0" applyFill="0" applyProtection="0"/>
    <xf numFmtId="167" fontId="0" fillId="4" borderId="3"/>
    <xf numFmtId="171" fontId="21" fillId="4" borderId="3"/>
    <xf numFmtId="0" fontId="24" fillId="38" borderId="0"/>
    <xf numFmtId="0" fontId="30" fillId="39" borderId="0" applyAlignment="0" applyBorder="0" applyNumberFormat="0" applyProtection="0"/>
    <xf numFmtId="0" fontId="31" fillId="40" borderId="0" applyAlignment="0" applyBorder="0" applyNumberFormat="0" applyProtection="0"/>
    <xf numFmtId="0" fontId="31" fillId="41" borderId="0" applyAlignment="0" applyBorder="0" applyNumberFormat="0" applyProtection="0"/>
    <xf numFmtId="0" fontId="30" fillId="42" borderId="0" applyAlignment="0" applyBorder="0" applyNumberFormat="0" applyProtection="0"/>
    <xf numFmtId="0" fontId="30" fillId="43" borderId="0" applyAlignment="0" applyBorder="0" applyNumberFormat="0" applyProtection="0"/>
    <xf numFmtId="0" fontId="31" fillId="44" borderId="0" applyAlignment="0" applyBorder="0" applyNumberFormat="0" applyProtection="0"/>
    <xf numFmtId="0" fontId="31" fillId="45" borderId="0" applyAlignment="0" applyBorder="0" applyNumberFormat="0" applyProtection="0"/>
    <xf numFmtId="0" fontId="30" fillId="46" borderId="0" applyAlignment="0" applyBorder="0" applyNumberFormat="0" applyProtection="0"/>
    <xf numFmtId="0" fontId="30" fillId="47" borderId="0" applyAlignment="0" applyBorder="0" applyNumberFormat="0" applyProtection="0"/>
    <xf numFmtId="0" fontId="31" fillId="48" borderId="0" applyAlignment="0" applyBorder="0" applyNumberFormat="0" applyProtection="0"/>
    <xf numFmtId="0" fontId="31" fillId="49" borderId="0" applyAlignment="0" applyBorder="0" applyNumberFormat="0" applyProtection="0"/>
    <xf numFmtId="0" fontId="30" fillId="50" borderId="0" applyAlignment="0" applyBorder="0" applyNumberFormat="0" applyProtection="0"/>
    <xf numFmtId="0" fontId="30" fillId="51" borderId="0" applyAlignment="0" applyBorder="0" applyNumberFormat="0" applyProtection="0"/>
    <xf numFmtId="0" fontId="31" fillId="44" borderId="0" applyAlignment="0" applyBorder="0" applyNumberFormat="0" applyProtection="0"/>
    <xf numFmtId="0" fontId="31" fillId="52" borderId="0" applyAlignment="0" applyBorder="0" applyNumberFormat="0" applyProtection="0"/>
    <xf numFmtId="0" fontId="30" fillId="45" borderId="0" applyAlignment="0" applyBorder="0" applyNumberFormat="0" applyProtection="0"/>
    <xf numFmtId="0" fontId="30" fillId="42" borderId="0" applyAlignment="0" applyBorder="0" applyNumberFormat="0" applyProtection="0"/>
    <xf numFmtId="0" fontId="31" fillId="53" borderId="0" applyAlignment="0" applyBorder="0" applyNumberFormat="0" applyProtection="0"/>
    <xf numFmtId="0" fontId="31" fillId="54" borderId="0" applyAlignment="0" applyBorder="0" applyNumberFormat="0" applyProtection="0"/>
    <xf numFmtId="0" fontId="30" fillId="42" borderId="0" applyAlignment="0" applyBorder="0" applyNumberFormat="0" applyProtection="0"/>
    <xf numFmtId="0" fontId="30" fillId="55" borderId="0" applyAlignment="0" applyBorder="0" applyNumberFormat="0" applyProtection="0"/>
    <xf numFmtId="0" fontId="31" fillId="56" borderId="0" applyAlignment="0" applyBorder="0" applyNumberFormat="0" applyProtection="0"/>
    <xf numFmtId="0" fontId="31" fillId="57" borderId="0" applyAlignment="0" applyBorder="0" applyNumberFormat="0" applyProtection="0"/>
    <xf numFmtId="0" fontId="30" fillId="58" borderId="0" applyAlignment="0" applyBorder="0" applyNumberFormat="0" applyProtection="0"/>
    <xf numFmtId="0" fontId="32" fillId="56" borderId="0" applyAlignment="0" applyBorder="0" applyNumberFormat="0" applyProtection="0"/>
    <xf numFmtId="0" fontId="33" fillId="59" borderId="12" applyAlignment="0" applyNumberFormat="0" applyProtection="0"/>
    <xf numFmtId="0" fontId="34" fillId="51" borderId="13" applyAlignment="0" applyNumberFormat="0" applyProtection="0"/>
    <xf numFmtId="0" fontId="35" fillId="60" borderId="0" applyAlignment="0" applyBorder="0" applyNumberFormat="0" applyProtection="0"/>
    <xf numFmtId="0" fontId="35" fillId="61" borderId="0" applyAlignment="0" applyBorder="0" applyNumberFormat="0" applyProtection="0"/>
    <xf numFmtId="0" fontId="35" fillId="62" borderId="0" applyAlignment="0" applyBorder="0" applyNumberFormat="0" applyProtection="0"/>
    <xf numFmtId="0" fontId="31" fillId="49" borderId="0" applyAlignment="0" applyBorder="0" applyNumberFormat="0" applyProtection="0"/>
    <xf numFmtId="0" fontId="36" fillId="0" borderId="14" applyAlignment="0" applyNumberFormat="0" applyFill="0" applyProtection="0"/>
    <xf numFmtId="0" fontId="37" fillId="0" borderId="15" applyAlignment="0" applyNumberFormat="0" applyFill="0" applyProtection="0"/>
    <xf numFmtId="0" fontId="38" fillId="0" borderId="16" applyAlignment="0" applyNumberFormat="0" applyFill="0" applyProtection="0"/>
    <xf numFmtId="0" fontId="38" fillId="0" borderId="0" applyAlignment="0" applyBorder="0" applyNumberFormat="0" applyFill="0" applyProtection="0"/>
    <xf numFmtId="0" fontId="39" fillId="57" borderId="12" applyAlignment="0" applyNumberFormat="0" applyProtection="0"/>
    <xf numFmtId="0" fontId="40" fillId="0" borderId="17" applyAlignment="0" applyNumberFormat="0" applyFill="0" applyProtection="0"/>
    <xf numFmtId="0" fontId="40" fillId="57" borderId="0" applyAlignment="0" applyBorder="0" applyNumberFormat="0" applyProtection="0"/>
    <xf numFmtId="0" fontId="24" fillId="56" borderId="12" applyAlignment="0" applyFont="0" applyNumberFormat="0" applyProtection="0"/>
    <xf numFmtId="0" fontId="41" fillId="59" borderId="18" applyAlignment="0" applyNumberFormat="0" applyProtection="0"/>
    <xf numFmtId="4" fontId="24" fillId="63" borderId="12" applyNumberFormat="0" applyProtection="0">
      <alignment vertical="center"/>
    </xf>
    <xf numFmtId="4" fontId="44" fillId="5" borderId="12" applyNumberFormat="0" applyProtection="0">
      <alignment vertical="center"/>
    </xf>
    <xf numFmtId="4" fontId="24" fillId="5" borderId="12" applyNumberFormat="0" applyProtection="0">
      <alignment horizontal="left" vertical="center" indent="1"/>
    </xf>
    <xf numFmtId="0" fontId="27" fillId="63" borderId="19" applyNumberFormat="0" applyProtection="0">
      <alignment horizontal="left" vertical="top" indent="1"/>
    </xf>
    <xf numFmtId="4" fontId="24" fillId="64" borderId="12" applyNumberFormat="0" applyProtection="0">
      <alignment horizontal="left" vertical="center" indent="1"/>
    </xf>
    <xf numFmtId="4" fontId="24" fillId="65" borderId="1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24" fillId="67" borderId="20" applyNumberFormat="0" applyProtection="0">
      <alignment horizontal="right" vertical="center"/>
    </xf>
    <xf numFmtId="4" fontId="24" fillId="68" borderId="12" applyNumberFormat="0" applyProtection="0">
      <alignment horizontal="right" vertical="center"/>
    </xf>
    <xf numFmtId="4" fontId="24" fillId="69" borderId="12" applyNumberFormat="0" applyProtection="0">
      <alignment horizontal="right" vertical="center"/>
    </xf>
    <xf numFmtId="4" fontId="24" fillId="70" borderId="12" applyNumberFormat="0" applyProtection="0">
      <alignment horizontal="right" vertical="center"/>
    </xf>
    <xf numFmtId="4" fontId="24" fillId="71" borderId="12" applyNumberFormat="0" applyProtection="0">
      <alignment horizontal="right" vertical="center"/>
    </xf>
    <xf numFmtId="4" fontId="24" fillId="72" borderId="12" applyNumberFormat="0" applyProtection="0">
      <alignment horizontal="right" vertical="center"/>
    </xf>
    <xf numFmtId="4" fontId="24" fillId="73" borderId="12" applyNumberFormat="0" applyProtection="0">
      <alignment horizontal="right" vertical="center"/>
    </xf>
    <xf numFmtId="4" fontId="24" fillId="74" borderId="20" applyNumberFormat="0" applyProtection="0">
      <alignment horizontal="left" vertical="center" indent="1"/>
    </xf>
    <xf numFmtId="4" fontId="12" fillId="75" borderId="20" applyNumberFormat="0" applyProtection="0">
      <alignment horizontal="left" vertical="center" indent="1"/>
    </xf>
    <xf numFmtId="4" fontId="12" fillId="75" borderId="20" applyNumberFormat="0" applyProtection="0">
      <alignment horizontal="left" vertical="center" indent="1"/>
    </xf>
    <xf numFmtId="4" fontId="24" fillId="76" borderId="12" applyNumberFormat="0" applyProtection="0">
      <alignment horizontal="right" vertical="center"/>
    </xf>
    <xf numFmtId="4" fontId="24" fillId="77" borderId="20" applyNumberFormat="0" applyProtection="0">
      <alignment horizontal="left" vertical="center" indent="1"/>
    </xf>
    <xf numFmtId="4" fontId="24" fillId="76" borderId="20" applyNumberFormat="0" applyProtection="0">
      <alignment horizontal="left" vertical="center" indent="1"/>
    </xf>
    <xf numFmtId="0" fontId="24" fillId="78" borderId="12" applyNumberFormat="0" applyProtection="0">
      <alignment horizontal="left" vertical="center" indent="1"/>
    </xf>
    <xf numFmtId="0" fontId="24" fillId="75" borderId="19" applyNumberFormat="0" applyProtection="0">
      <alignment horizontal="left" vertical="top" indent="1"/>
    </xf>
    <xf numFmtId="0" fontId="24" fillId="79" borderId="12" applyNumberFormat="0" applyProtection="0">
      <alignment horizontal="left" vertical="center" indent="1"/>
    </xf>
    <xf numFmtId="0" fontId="24" fillId="76" borderId="19" applyNumberFormat="0" applyProtection="0">
      <alignment horizontal="left" vertical="top" indent="1"/>
    </xf>
    <xf numFmtId="0" fontId="24" fillId="80" borderId="12" applyNumberFormat="0" applyProtection="0">
      <alignment horizontal="left" vertical="center" indent="1"/>
    </xf>
    <xf numFmtId="0" fontId="24" fillId="80" borderId="19" applyNumberFormat="0" applyProtection="0">
      <alignment horizontal="left" vertical="top" indent="1"/>
    </xf>
    <xf numFmtId="0" fontId="24" fillId="77" borderId="12" applyNumberFormat="0" applyProtection="0">
      <alignment horizontal="left" vertical="center" indent="1"/>
    </xf>
    <xf numFmtId="0" fontId="24" fillId="77" borderId="19" applyNumberFormat="0" applyProtection="0">
      <alignment horizontal="left" vertical="top" indent="1"/>
    </xf>
    <xf numFmtId="0" fontId="24" fillId="81" borderId="21" applyNumberFormat="0">
      <protection locked="0"/>
    </xf>
    <xf numFmtId="0" fontId="25" fillId="75" borderId="22" applyBorder="0"/>
    <xf numFmtId="4" fontId="26" fillId="82" borderId="19" applyNumberFormat="0" applyProtection="0">
      <alignment vertical="center"/>
    </xf>
    <xf numFmtId="4" fontId="44" fillId="83" borderId="4" applyNumberFormat="0" applyProtection="0">
      <alignment vertical="center"/>
    </xf>
    <xf numFmtId="4" fontId="26" fillId="78" borderId="19" applyNumberFormat="0" applyProtection="0">
      <alignment horizontal="left" vertical="center" indent="1"/>
    </xf>
    <xf numFmtId="0" fontId="26" fillId="82" borderId="19" applyNumberFormat="0" applyProtection="0">
      <alignment horizontal="left" vertical="top" indent="1"/>
    </xf>
    <xf numFmtId="4" fontId="24" fillId="0" borderId="12" applyNumberFormat="0" applyProtection="0">
      <alignment horizontal="right" vertical="center"/>
    </xf>
    <xf numFmtId="4" fontId="44" fillId="4" borderId="12" applyNumberFormat="0" applyProtection="0">
      <alignment horizontal="right" vertical="center"/>
    </xf>
    <xf numFmtId="4" fontId="24" fillId="64" borderId="12" applyNumberFormat="0" applyProtection="0">
      <alignment horizontal="left" vertical="center" indent="1"/>
    </xf>
    <xf numFmtId="0" fontId="26" fillId="76" borderId="19" applyNumberFormat="0" applyProtection="0">
      <alignment horizontal="left" vertical="top" indent="1"/>
    </xf>
    <xf numFmtId="4" fontId="28" fillId="84" borderId="20" applyNumberFormat="0" applyProtection="0">
      <alignment horizontal="left" vertical="center" indent="1"/>
    </xf>
    <xf numFmtId="0" fontId="24" fillId="85" borderId="4"/>
    <xf numFmtId="4" fontId="29" fillId="81" borderId="12" applyNumberFormat="0" applyProtection="0">
      <alignment horizontal="right" vertical="center"/>
    </xf>
    <xf numFmtId="0" fontId="42" fillId="0" borderId="0" applyAlignment="0" applyBorder="0" applyNumberFormat="0" applyFill="0" applyProtection="0"/>
    <xf numFmtId="0" fontId="35" fillId="0" borderId="23" applyAlignment="0" applyNumberFormat="0" applyFill="0" applyProtection="0"/>
    <xf numFmtId="0" fontId="43" fillId="0" borderId="0" applyAlignment="0" applyBorder="0" applyNumberFormat="0" applyFill="0" applyProtection="0"/>
    <xf numFmtId="0" fontId="24" fillId="38" borderId="0"/>
  </cellStyleXfs>
  <cellXfs>
    <xf numFmtId="0" fontId="0" fillId="0" borderId="0" xfId="0"/>
    <xf numFmtId="172" fontId="12" fillId="0" borderId="0" xfId="146" applyAlignment="1" applyBorder="1" applyFont="1" applyNumberFormat="1">
      <alignment horizontal="right" vertical="center"/>
    </xf>
    <xf numFmtId="0" fontId="6" fillId="2" borderId="24" xfId="0" applyBorder="1" applyFont="1" applyFill="1"/>
    <xf numFmtId="0" fontId="6" fillId="2" borderId="25" xfId="0" applyBorder="1" applyFont="1" applyFill="1"/>
    <xf numFmtId="0" fontId="12" fillId="2" borderId="26" xfId="0" applyBorder="1" applyFont="1" applyFill="1"/>
    <xf numFmtId="0" fontId="12" fillId="86" borderId="2" xfId="0" applyBorder="1" applyFont="1" applyFill="1"/>
    <xf numFmtId="0" fontId="12" fillId="0" borderId="0" xfId="0" applyFont="1"/>
    <xf numFmtId="0" fontId="12" fillId="2" borderId="27" xfId="0" applyBorder="1" applyFont="1" applyFill="1"/>
    <xf numFmtId="0" fontId="12" fillId="86" borderId="0" xfId="0" applyFont="1" applyFill="1"/>
    <xf numFmtId="0" fontId="12" fillId="87" borderId="25" xfId="0" applyBorder="1" applyFont="1" applyFill="1"/>
    <xf numFmtId="0" fontId="12" fillId="87" borderId="27" xfId="0" applyBorder="1" applyFont="1" applyFill="1"/>
    <xf numFmtId="0" fontId="12" fillId="3" borderId="0" xfId="0" applyFont="1" applyFill="1"/>
    <xf numFmtId="0" fontId="12" fillId="0" borderId="25" xfId="0" applyBorder="1" applyFont="1"/>
    <xf numFmtId="0" fontId="12" fillId="0" borderId="27" xfId="0" applyBorder="1" applyFont="1"/>
    <xf numFmtId="0" fontId="12" fillId="0" borderId="28" xfId="0" applyBorder="1" applyFont="1"/>
    <xf numFmtId="0" fontId="12" fillId="0" borderId="29" xfId="0" applyBorder="1" applyFont="1"/>
    <xf numFmtId="0" fontId="20" fillId="0" borderId="0" xfId="0" applyAlignment="1" applyFont="1">
      <alignment vertical="center"/>
    </xf>
    <xf numFmtId="0" fontId="12" fillId="0" borderId="0" xfId="0" applyAlignment="1" applyFont="1">
      <alignment horizontal="left" vertical="center" wrapText="1" indent="1"/>
    </xf>
    <xf numFmtId="0" fontId="20" fillId="0" borderId="4" xfId="71" applyBorder="1" applyFont="1" applyFill="1"/>
    <xf numFmtId="0" fontId="6" fillId="2" borderId="2" xfId="0" applyAlignment="1" applyBorder="1" applyFont="1" applyFill="1">
      <alignment horizontal="left"/>
    </xf>
    <xf numFmtId="0" fontId="12" fillId="87" borderId="0" xfId="0" applyAlignment="1" applyFont="1" applyFill="1">
      <alignment horizontal="left"/>
    </xf>
    <xf numFmtId="0" fontId="12" fillId="0" borderId="0" xfId="0" applyAlignment="1" applyFont="1">
      <alignment horizontal="left"/>
    </xf>
    <xf numFmtId="0" fontId="20" fillId="0" borderId="4" xfId="71" applyAlignment="1" applyBorder="1" applyFont="1" applyFill="1">
      <alignment horizontal="right"/>
    </xf>
    <xf numFmtId="0" fontId="12" fillId="86" borderId="2" xfId="0" applyAlignment="1" applyBorder="1" applyFont="1" applyFill="1">
      <alignment horizontal="center"/>
    </xf>
    <xf numFmtId="0" fontId="12" fillId="86" borderId="0" xfId="0" applyAlignment="1" applyFont="1" applyFill="1">
      <alignment horizontal="center"/>
    </xf>
    <xf numFmtId="0" fontId="12" fillId="3" borderId="0" xfId="0" applyAlignment="1" applyFont="1" applyFill="1">
      <alignment horizontal="center"/>
    </xf>
    <xf numFmtId="0" fontId="12" fillId="0" borderId="0" xfId="0" applyAlignment="1" applyFont="1">
      <alignment horizontal="center"/>
    </xf>
    <xf numFmtId="172" fontId="12" fillId="0" borderId="0" xfId="146" applyAlignment="1" applyBorder="1" applyFont="1" applyNumberFormat="1">
      <alignment horizontal="center" vertical="center"/>
    </xf>
    <xf numFmtId="173" fontId="12" fillId="0" borderId="4" xfId="0" applyAlignment="1" applyBorder="1" applyFont="1" applyNumberFormat="1">
      <alignment horizontal="left"/>
    </xf>
    <xf numFmtId="174" fontId="12" fillId="0" borderId="4" xfId="112" applyAlignment="1" applyBorder="1" applyFont="1" applyNumberFormat="1" applyFill="1">
      <alignment vertical="center"/>
    </xf>
    <xf numFmtId="174" fontId="20" fillId="6" borderId="4" xfId="112" applyAlignment="1" applyBorder="1" applyFont="1" applyNumberFormat="1" applyFill="1">
      <alignment vertical="center"/>
    </xf>
    <xf numFmtId="0" fontId="23" fillId="2" borderId="0" xfId="0" applyFont="1" applyFill="1"/>
    <xf numFmtId="0" fontId="23" fillId="87" borderId="0" xfId="0" applyAlignment="1" applyFont="1" applyFill="1">
      <alignment horizontal="left"/>
    </xf>
    <xf numFmtId="0" fontId="20" fillId="0" borderId="30" xfId="0" applyAlignment="1" applyBorder="1" applyFont="1">
      <alignment horizontal="left"/>
    </xf>
    <xf numFmtId="0" fontId="23" fillId="2" borderId="2" xfId="0" applyAlignment="1" applyBorder="1" applyFont="1" applyFill="1">
      <alignment horizontal="left"/>
    </xf>
  </cellXfs>
  <cellStyles count="142">
    <cellStyle name="20% - Accent1" xfId="33" builtinId="30"/>
    <cellStyle name="20% - Accent2" xfId="37" builtinId="34"/>
    <cellStyle name="20% - Accent3" xfId="41" builtinId="38"/>
    <cellStyle name="20% - Accent4" xfId="45" builtinId="42"/>
    <cellStyle name="20% - Accent5" xfId="49" builtinId="46"/>
    <cellStyle name="20% - Accent6" xfId="53" builtinId="50"/>
    <cellStyle name="40% - Accent1" xfId="34" builtinId="31"/>
    <cellStyle name="40% - Accent2" xfId="38" builtinId="35"/>
    <cellStyle name="40% - Accent3" xfId="42" builtinId="39"/>
    <cellStyle name="40% - Accent4" xfId="46" builtinId="43"/>
    <cellStyle name="40% - Accent5" xfId="50" builtinId="47"/>
    <cellStyle name="40% - Accent6" xfId="54" builtinId="51"/>
    <cellStyle name="60% - Accent1" xfId="35" builtinId="32"/>
    <cellStyle name="60% - Accent2" xfId="39" builtinId="36"/>
    <cellStyle name="60% - Accent3" xfId="43" builtinId="40"/>
    <cellStyle name="60% - Accent4" xfId="47" builtinId="44"/>
    <cellStyle name="60% - Accent5" xfId="51" builtinId="48"/>
    <cellStyle name="60% - Accent6" xfId="55" builtinId="52"/>
    <cellStyle name="Accent1" xfId="32" builtinId="29"/>
    <cellStyle name="Accent1 - 20%" xfId="73"/>
    <cellStyle name="Accent1 - 40%" xfId="74"/>
    <cellStyle name="Accent1 - 60%" xfId="75"/>
    <cellStyle name="Accent2" xfId="36" builtinId="33"/>
    <cellStyle name="Accent2 - 20%" xfId="77"/>
    <cellStyle name="Accent2 - 40%" xfId="78"/>
    <cellStyle name="Accent2 - 60%" xfId="79"/>
    <cellStyle name="Accent3" xfId="40" builtinId="37"/>
    <cellStyle name="Accent3 - 20%" xfId="81"/>
    <cellStyle name="Accent3 - 40%" xfId="82"/>
    <cellStyle name="Accent3 - 60%" xfId="83"/>
    <cellStyle name="Accent4" xfId="44" builtinId="41"/>
    <cellStyle name="Accent4 - 20%" xfId="85"/>
    <cellStyle name="Accent4 - 40%" xfId="86"/>
    <cellStyle name="Accent4 - 60%" xfId="87"/>
    <cellStyle name="Accent5" xfId="48" builtinId="45"/>
    <cellStyle name="Accent5 - 20%" xfId="89"/>
    <cellStyle name="Accent5 - 40%" xfId="90"/>
    <cellStyle name="Accent5 - 60%" xfId="91"/>
    <cellStyle name="Accent6" xfId="52" builtinId="49"/>
    <cellStyle name="Accent6 - 20%" xfId="93"/>
    <cellStyle name="Accent6 - 40%" xfId="94"/>
    <cellStyle name="Accent6 - 60%" xfId="95"/>
    <cellStyle name="Bad 2" xfId="96"/>
    <cellStyle name="CALC Amount" xfId="7"/>
    <cellStyle name="CALC Amount Total" xfId="8"/>
    <cellStyle name="CALC Currency" xfId="9"/>
    <cellStyle name="CALC Currency Total" xfId="10"/>
    <cellStyle name="CALC Date Long" xfId="11"/>
    <cellStyle name="CALC Date Short" xfId="12"/>
    <cellStyle name="CALC Percent" xfId="13"/>
    <cellStyle name="CALC Percent Total" xfId="14"/>
    <cellStyle name="Calculation" xfId="63" builtinId="22"/>
    <cellStyle name="CALLUP Amount" xfId="15"/>
    <cellStyle name="CALLUP Amount LINK" xfId="70"/>
    <cellStyle name="CALLUP Date" xfId="69"/>
    <cellStyle name="CALLUP Percent" xfId="16"/>
    <cellStyle name="CALLUP Text" xfId="17"/>
    <cellStyle name="Check" xfId="18"/>
    <cellStyle name="Check Cell" xfId="65" builtinId="23"/>
    <cellStyle name="Comma" xfId="56" builtinId="3"/>
    <cellStyle name="Comma [0]" xfId="57" builtinId="6"/>
    <cellStyle name="Currency" xfId="58" builtinId="4"/>
    <cellStyle name="Currency [0]" xfId="59" builtinId="7"/>
    <cellStyle name="DATA Amount" xfId="19"/>
    <cellStyle name="DATA Currency" xfId="20"/>
    <cellStyle name="DATA Date Long" xfId="21"/>
    <cellStyle name="DATA Date Short" xfId="22"/>
    <cellStyle name="DATA Percent" xfId="23"/>
    <cellStyle name="DATA Text" xfId="24"/>
    <cellStyle name="DATA Version" xfId="25"/>
    <cellStyle name="DescriptionText" xfId="26"/>
    <cellStyle name="Emphasis 1" xfId="99"/>
    <cellStyle name="Emphasis 2" xfId="100"/>
    <cellStyle name="Emphasis 3" xfId="101"/>
    <cellStyle name="Explanatory Text" xfId="68" builtinId="53"/>
    <cellStyle name="Good 2" xfId="102"/>
    <cellStyle name="Heading 1" xfId="2" builtinId="16"/>
    <cellStyle name="Heading 1 2" xfId="103"/>
    <cellStyle name="Heading 2" xfId="3" builtinId="17"/>
    <cellStyle name="Heading 2 2" xfId="104"/>
    <cellStyle name="Heading 3" xfId="4" builtinId="18"/>
    <cellStyle name="Heading 3 2" xfId="105"/>
    <cellStyle name="Heading 4" xfId="5" builtinId="19"/>
    <cellStyle name="Input" xfId="61" builtinId="20"/>
    <cellStyle name="LABEL Normal" xfId="27"/>
    <cellStyle name="LABEL Note" xfId="28"/>
    <cellStyle name="LABEL Units" xfId="29"/>
    <cellStyle name="Linked Cell" xfId="64" builtinId="24"/>
    <cellStyle name="N/A Style" xfId="30"/>
    <cellStyle name="Neutral 2" xfId="109"/>
    <cellStyle name="Normal" xfId="0" builtinId="0"/>
    <cellStyle name="Normal 2" xfId="71"/>
    <cellStyle name="Normal 3" xfId="156"/>
    <cellStyle name="Note" xfId="67" builtinId="10"/>
    <cellStyle name="Output" xfId="62" builtinId="21"/>
    <cellStyle name="Percent" xfId="60" builtinId="5"/>
    <cellStyle name="SAPBEXaggData" xfId="112"/>
    <cellStyle name="SAPBEXaggDataEmph" xfId="113"/>
    <cellStyle name="SAPBEXaggItem" xfId="114"/>
    <cellStyle name="SAPBEXaggItemX" xfId="115"/>
    <cellStyle name="SAPBEXchaText" xfId="116"/>
    <cellStyle name="SAPBEXexcBad7" xfId="117"/>
    <cellStyle name="SAPBEXexcBad8" xfId="118"/>
    <cellStyle name="SAPBEXexcBad9" xfId="119"/>
    <cellStyle name="SAPBEXexcCritical4" xfId="120"/>
    <cellStyle name="SAPBEXexcCritical5" xfId="121"/>
    <cellStyle name="SAPBEXexcCritical6" xfId="122"/>
    <cellStyle name="SAPBEXexcGood1" xfId="123"/>
    <cellStyle name="SAPBEXexcGood2" xfId="124"/>
    <cellStyle name="SAPBEXexcGood3" xfId="125"/>
    <cellStyle name="SAPBEXfilterDrill" xfId="126"/>
    <cellStyle name="SAPBEXfilterItem" xfId="127"/>
    <cellStyle name="SAPBEXfilterText" xfId="128"/>
    <cellStyle name="SAPBEXformats" xfId="129"/>
    <cellStyle name="SAPBEXheaderItem" xfId="130"/>
    <cellStyle name="SAPBEXheaderText" xfId="131"/>
    <cellStyle name="SAPBEXHLevel0" xfId="132"/>
    <cellStyle name="SAPBEXHLevel0X" xfId="133"/>
    <cellStyle name="SAPBEXHLevel1" xfId="134"/>
    <cellStyle name="SAPBEXHLevel1X" xfId="135"/>
    <cellStyle name="SAPBEXHLevel2" xfId="136"/>
    <cellStyle name="SAPBEXHLevel2X" xfId="137"/>
    <cellStyle name="SAPBEXHLevel3" xfId="138"/>
    <cellStyle name="SAPBEXHLevel3X" xfId="139"/>
    <cellStyle name="SAPBEXinputData" xfId="140"/>
    <cellStyle name="SAPBEXItemHeader" xfId="141"/>
    <cellStyle name="SAPBEXresData" xfId="142"/>
    <cellStyle name="SAPBEXresDataEmph" xfId="143"/>
    <cellStyle name="SAPBEXresItem" xfId="144"/>
    <cellStyle name="SAPBEXresItemX" xfId="145"/>
    <cellStyle name="SAPBEXstdData" xfId="146"/>
    <cellStyle name="SAPBEXstdDataEmph" xfId="147"/>
    <cellStyle name="SAPBEXstdItem" xfId="148"/>
    <cellStyle name="SAPBEXstdItemX" xfId="149"/>
    <cellStyle name="SAPBEXtitle" xfId="150"/>
    <cellStyle name="SAPBEXunassignedItem" xfId="151"/>
    <cellStyle name="SAPBEXundefined" xfId="152"/>
    <cellStyle name="Sheet Title" xfId="153"/>
    <cellStyle name="SheetEnd" xfId="31"/>
    <cellStyle name="Title" xfId="1" builtinId="15"/>
    <cellStyle name="Total" xfId="6" builtinId="25"/>
    <cellStyle name="Warning Text" xfId="66" builtinId="11"/>
  </cellStyles>
  <dxfs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S">
      <a:dk1>
        <a:srgbClr val="3C3C3C"/>
      </a:dk1>
      <a:lt1>
        <a:srgbClr val="FFFFFF"/>
      </a:lt1>
      <a:dk2>
        <a:srgbClr val="5DC5EA"/>
      </a:dk2>
      <a:lt2>
        <a:srgbClr val="E8E8E8"/>
      </a:lt2>
      <a:accent1>
        <a:srgbClr val="D4DDEA"/>
      </a:accent1>
      <a:accent2>
        <a:srgbClr val="D40058"/>
      </a:accent2>
      <a:accent3>
        <a:srgbClr val="453C90"/>
      </a:accent3>
      <a:accent4>
        <a:srgbClr val="AECC53"/>
      </a:accent4>
      <a:accent5>
        <a:srgbClr val="F7A70B"/>
      </a:accent5>
      <a:accent6>
        <a:srgbClr val="8F6FA0"/>
      </a:accent6>
      <a:hlink>
        <a:srgbClr val="004887"/>
      </a:hlink>
      <a:folHlink>
        <a:srgbClr val="00871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BJ152"/>
  <sheetViews>
    <sheetView topLeftCell="A1" showGridLines="0" view="normal" tabSelected="1" workbookViewId="0">
      <pane xSplit="4" ySplit="8" topLeftCell="E9" activePane="bottomRight" state="frozen"/>
      <selection pane="bottomRight" activeCell="K15" sqref="K15"/>
    </sheetView>
  </sheetViews>
  <sheetFormatPr defaultColWidth="0" zeroHeight="true" defaultRowHeight="12.5"/>
  <cols>
    <col min="1" max="1" width="6.75390625" style="6" customWidth="1"/>
    <col min="2" max="2" width="41.875" style="21" bestFit="1" customWidth="1"/>
    <col min="3" max="3" width="32.875" style="6" bestFit="1" customWidth="1"/>
    <col min="4" max="7" width="13.25390625" style="6" bestFit="1" customWidth="1"/>
    <col min="8" max="8" width="10.75390625" style="26" customWidth="1"/>
    <col min="9" max="28" width="9.75390625" style="6" customWidth="1"/>
    <col min="29" max="29" width="9.125" style="6" bestFit="1" customWidth="1"/>
    <col min="30" max="30" width="7.375" style="6" bestFit="1" customWidth="1"/>
    <col min="31" max="47" width="3.75390625" style="6" customWidth="1"/>
    <col min="48" max="55" width="1.75390625" style="6" customWidth="1"/>
    <col min="56" max="62" width="8.75390625" style="6" customWidth="1"/>
    <col min="63" max="16384" width="9.125" style="6" hidden="1" customWidth="1"/>
  </cols>
  <sheetData>
    <row r="1" spans="1:55" ht="13">
      <c r="A1" s="2"/>
      <c r="B1" s="34"/>
      <c r="C1" s="19"/>
      <c r="D1" s="4"/>
      <c r="E1" s="5"/>
      <c r="F1" s="5"/>
      <c r="G1" s="5"/>
      <c r="H1" s="2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</row>
    <row r="2" spans="1:55" ht="13">
      <c r="A2" s="3"/>
      <c r="B2" s="31" t="s">
        <v>8</v>
      </c>
      <c r="C2" s="31"/>
      <c r="D2" s="7"/>
      <c r="E2" s="8"/>
      <c r="F2" s="8"/>
      <c r="G2" s="8"/>
      <c r="H2" s="24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>
      <c r="A3" s="9"/>
      <c r="B3" s="20"/>
      <c r="C3" s="20"/>
      <c r="D3" s="10"/>
      <c r="E3" s="11"/>
      <c r="F3" s="11"/>
      <c r="G3" s="11"/>
      <c r="H3" s="25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</row>
    <row r="4" spans="1:55" ht="13">
      <c r="A4" s="9"/>
      <c r="B4" s="32" t="s">
        <v>7</v>
      </c>
      <c r="C4" s="32"/>
      <c r="D4" s="10"/>
      <c r="E4" s="11"/>
      <c r="F4" s="11"/>
      <c r="G4" s="11"/>
      <c r="H4" s="25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</row>
    <row r="5" spans="1:4">
      <c r="A5" s="12"/>
      <c r="C5" s="21"/>
      <c r="D5" s="13"/>
    </row>
    <row r="6" spans="1:4" ht="13">
      <c r="A6" s="14"/>
      <c r="B6" s="33" t="s">
        <v>6</v>
      </c>
      <c r="C6" s="33" t="s">
        <v>10</v>
      </c>
      <c r="D6" s="15"/>
    </row>
    <row r="7" spans="3:3">
      <c r="C7" s="6" t="s">
        <v>9</v>
      </c>
    </row>
    <row r="8" spans="2:39" ht="13">
      <c r="B8" s="18" t="s">
        <v>4</v>
      </c>
      <c r="C8" s="22" t="s">
        <v>2</v>
      </c>
      <c r="D8" s="22" t="s">
        <v>1</v>
      </c>
      <c r="E8" s="22" t="s">
        <v>0</v>
      </c>
      <c r="F8" s="22" t="s">
        <v>5</v>
      </c>
      <c r="G8" s="22" t="s">
        <v>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K8" s="16"/>
      <c r="AM8" s="16"/>
    </row>
    <row r="9" spans="2:41" ht="13">
      <c r="B9" s="28">
        <v>44197</v>
      </c>
      <c r="C9" s="29">
        <v>3253.8800000000006</v>
      </c>
      <c r="D9" s="29">
        <v>1174.09</v>
      </c>
      <c r="E9" s="29">
        <v>15685.889999999998</v>
      </c>
      <c r="F9" s="29">
        <v>18221.160000000018</v>
      </c>
      <c r="G9" s="30">
        <f>SUM(C9:F9)</f>
        <v>38335.020000000019</v>
      </c>
      <c r="H9" s="2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M9" s="16"/>
      <c r="AO9" s="16"/>
    </row>
    <row r="10" spans="2:41" ht="13">
      <c r="B10" s="28">
        <v>44228</v>
      </c>
      <c r="C10" s="29">
        <v>5221.7400000000007</v>
      </c>
      <c r="D10" s="29">
        <v>10</v>
      </c>
      <c r="E10" s="29">
        <v>17952.440000000006</v>
      </c>
      <c r="F10" s="29">
        <v>11878.970000000023</v>
      </c>
      <c r="G10" s="30">
        <f>SUM(C10:F10)</f>
        <v>35063.150000000031</v>
      </c>
      <c r="H10" s="2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M10" s="16"/>
      <c r="AO10" s="16"/>
    </row>
    <row r="11" spans="2:41" ht="13">
      <c r="B11" s="28">
        <v>44256</v>
      </c>
      <c r="C11" s="29">
        <v>22016.009999999991</v>
      </c>
      <c r="D11" s="29">
        <v>1944.9200000000005</v>
      </c>
      <c r="E11" s="29">
        <v>23463.35</v>
      </c>
      <c r="F11" s="29">
        <v>11404.750000000065</v>
      </c>
      <c r="G11" s="30">
        <f>SUM(C11:F11)</f>
        <v>58829.030000000057</v>
      </c>
      <c r="H11" s="2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M11" s="16"/>
      <c r="AO11" s="16"/>
    </row>
    <row r="12" spans="2:41" ht="13">
      <c r="B12" s="28">
        <v>44287</v>
      </c>
      <c r="C12" s="29">
        <v>46796.870000000032</v>
      </c>
      <c r="D12" s="29">
        <v>4628.69</v>
      </c>
      <c r="E12" s="29">
        <v>24371.78</v>
      </c>
      <c r="F12" s="29">
        <v>5849.5400000000227</v>
      </c>
      <c r="G12" s="30">
        <f>SUM(C12:F12)</f>
        <v>81646.880000000048</v>
      </c>
      <c r="H12" s="2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M12" s="16"/>
      <c r="AO12" s="16"/>
    </row>
    <row r="13" spans="2:42" ht="13">
      <c r="B13" s="28">
        <v>44317</v>
      </c>
      <c r="C13" s="29">
        <v>27805.629999999986</v>
      </c>
      <c r="D13" s="29">
        <v>5428.6099999999979</v>
      </c>
      <c r="E13" s="29">
        <v>28424.750000000007</v>
      </c>
      <c r="F13" s="29">
        <v>3884.8000000000029</v>
      </c>
      <c r="G13" s="30">
        <f>SUM(C13:F13)</f>
        <v>65543.79</v>
      </c>
      <c r="AP13" s="17"/>
    </row>
    <row r="14" spans="2:42" ht="13">
      <c r="B14" s="28">
        <v>44348</v>
      </c>
      <c r="C14" s="29">
        <v>10181.54</v>
      </c>
      <c r="D14" s="29">
        <v>4106.1500000000015</v>
      </c>
      <c r="E14" s="29">
        <v>28108.290000000012</v>
      </c>
      <c r="F14" s="29">
        <v>2925.239999999998</v>
      </c>
      <c r="G14" s="30">
        <f>SUM(C14:F14)</f>
        <v>45321.220000000008</v>
      </c>
      <c r="AP14" s="17"/>
    </row>
    <row r="15" spans="2:42" ht="13">
      <c r="B15" s="28">
        <v>44378</v>
      </c>
      <c r="C15" s="29">
        <v>23218.679999999975</v>
      </c>
      <c r="D15" s="29">
        <v>4566.64</v>
      </c>
      <c r="E15" s="29">
        <v>26991.92000000002</v>
      </c>
      <c r="F15" s="29">
        <v>3553.7999999999738</v>
      </c>
      <c r="G15" s="30">
        <f>SUM(C15:F15)</f>
        <v>58331.039999999964</v>
      </c>
      <c r="AP15" s="17"/>
    </row>
    <row r="16" spans="2:42" ht="13">
      <c r="B16" s="28">
        <v>44409</v>
      </c>
      <c r="C16" s="29">
        <v>21419.769999999982</v>
      </c>
      <c r="D16" s="29">
        <v>3590.5399999999995</v>
      </c>
      <c r="E16" s="29">
        <v>38426.23000000001</v>
      </c>
      <c r="F16" s="29">
        <v>2955.7399999999761</v>
      </c>
      <c r="G16" s="30">
        <f>SUM(C16:F16)</f>
        <v>66392.27999999997</v>
      </c>
      <c r="AP16" s="17"/>
    </row>
    <row r="17" spans="2:42" ht="13">
      <c r="B17" s="28">
        <v>44440</v>
      </c>
      <c r="C17" s="29">
        <v>29202.97999999996</v>
      </c>
      <c r="D17" s="29">
        <v>3614.54</v>
      </c>
      <c r="E17" s="29">
        <v>46995.209999999992</v>
      </c>
      <c r="F17" s="29">
        <v>2715.2500000000073</v>
      </c>
      <c r="G17" s="30">
        <f>SUM(C17:F17)</f>
        <v>82527.979999999952</v>
      </c>
      <c r="AP17" s="17"/>
    </row>
    <row r="18" spans="2:42" ht="13">
      <c r="B18" s="28">
        <v>44470</v>
      </c>
      <c r="C18" s="29">
        <v>51848.749999999913</v>
      </c>
      <c r="D18" s="29">
        <v>8808.9899999999943</v>
      </c>
      <c r="E18" s="29">
        <v>59723.840000000018</v>
      </c>
      <c r="F18" s="29">
        <v>2949.5699999999852</v>
      </c>
      <c r="G18" s="30">
        <f>SUM(C18:F18)</f>
        <v>123331.14999999991</v>
      </c>
      <c r="AP18" s="17"/>
    </row>
    <row r="19" spans="2:42" ht="13">
      <c r="B19" s="28">
        <v>44501</v>
      </c>
      <c r="C19" s="29">
        <v>44228.249999999905</v>
      </c>
      <c r="D19" s="29">
        <v>9884.8999999999942</v>
      </c>
      <c r="E19" s="29">
        <v>79437.460000000021</v>
      </c>
      <c r="F19" s="29">
        <v>6362.7199999999939</v>
      </c>
      <c r="G19" s="30">
        <f>SUM(C19:F19)</f>
        <v>139913.32999999993</v>
      </c>
      <c r="AP19" s="17"/>
    </row>
    <row r="20" spans="2:42" ht="13">
      <c r="B20" s="28">
        <v>44531</v>
      </c>
      <c r="C20" s="29">
        <v>23684.309999999954</v>
      </c>
      <c r="D20" s="29">
        <v>8678.34</v>
      </c>
      <c r="E20" s="29">
        <v>42760.250000000007</v>
      </c>
      <c r="F20" s="29">
        <v>9536.4799999999232</v>
      </c>
      <c r="G20" s="30">
        <f>SUM(C20:F20)</f>
        <v>84659.379999999888</v>
      </c>
      <c r="AP20" s="17"/>
    </row>
    <row r="21" spans="2:42" ht="13">
      <c r="B21" s="28">
        <v>44562</v>
      </c>
      <c r="C21" s="29">
        <v>17681.599999999991</v>
      </c>
      <c r="D21" s="29">
        <v>3342.4400000000005</v>
      </c>
      <c r="E21" s="29">
        <v>32284.350000000002</v>
      </c>
      <c r="F21" s="29">
        <v>20643.66</v>
      </c>
      <c r="G21" s="30">
        <f>SUM(C21:F21)</f>
        <v>73952.05</v>
      </c>
      <c r="AP21" s="17"/>
    </row>
    <row r="22" spans="2:42" ht="13">
      <c r="B22" s="28">
        <v>44593</v>
      </c>
      <c r="C22" s="29">
        <v>61972.079999999914</v>
      </c>
      <c r="D22" s="29">
        <v>5751.7199999999984</v>
      </c>
      <c r="E22" s="29">
        <v>60071.700000000012</v>
      </c>
      <c r="F22" s="29">
        <v>13895.809999999976</v>
      </c>
      <c r="G22" s="30">
        <f>SUM(C22:F22)</f>
        <v>141691.30999999991</v>
      </c>
      <c r="AP22" s="17"/>
    </row>
    <row r="23" spans="2:42" ht="13">
      <c r="B23" s="28">
        <v>44621</v>
      </c>
      <c r="C23" s="29">
        <f>34026.55+2886.38</f>
        <v>36912.93</v>
      </c>
      <c r="D23" s="29">
        <v>13190.81</v>
      </c>
      <c r="E23" s="29">
        <f>33434.32+47188.99</f>
        <v>80623.31</v>
      </c>
      <c r="F23" s="29">
        <v>15117.38</v>
      </c>
      <c r="G23" s="30">
        <f>SUM(C23:F23)</f>
        <v>145844.43</v>
      </c>
      <c r="AP23" s="17"/>
    </row>
    <row r="24" spans="2:7" ht="13">
      <c r="B24" s="28">
        <v>44652</v>
      </c>
      <c r="C24" s="29">
        <f>33099.59+896.39</f>
        <v>33995.979999999996</v>
      </c>
      <c r="D24" s="29">
        <f>4624.61</f>
        <v>4624.61</v>
      </c>
      <c r="E24" s="29">
        <f>32267.99+26180.97</f>
        <v>58448.960000000006</v>
      </c>
      <c r="F24" s="29">
        <v>4431.42</v>
      </c>
      <c r="G24" s="30">
        <f>SUM(C24:F24)</f>
        <v>101500.97</v>
      </c>
    </row>
    <row r="25" spans="2:7" ht="13">
      <c r="B25" s="28">
        <v>44682</v>
      </c>
      <c r="C25" s="29">
        <f>59184.77+2030.5</f>
        <v>61215.27</v>
      </c>
      <c r="D25" s="29">
        <v>7874.28</v>
      </c>
      <c r="E25" s="29">
        <f>81583.25+31710.43</f>
        <v>113293.68</v>
      </c>
      <c r="F25" s="29">
        <v>4471.45</v>
      </c>
      <c r="G25" s="30">
        <f>SUM(C25:F25)</f>
        <v>186854.68</v>
      </c>
    </row>
    <row r="26" spans="2:7" ht="13">
      <c r="B26" s="28">
        <v>44714</v>
      </c>
      <c r="C26" s="29">
        <v>61962.439999999937</v>
      </c>
      <c r="D26" s="29">
        <v>12738.090000000009</v>
      </c>
      <c r="E26" s="29">
        <v>113037.32000000007</v>
      </c>
      <c r="F26" s="29">
        <v>6588.6099999999988</v>
      </c>
      <c r="G26" s="30">
        <f>SUM(C26:F26)</f>
        <v>194326.46</v>
      </c>
    </row>
    <row r="27" spans="2:7" ht="13">
      <c r="B27" s="28">
        <v>44745</v>
      </c>
      <c r="C27" s="29">
        <v>38116.579999999907</v>
      </c>
      <c r="D27" s="29">
        <v>6886.2699999999932</v>
      </c>
      <c r="E27" s="29">
        <v>96724.269999999946</v>
      </c>
      <c r="F27" s="29">
        <v>5400.9999999999964</v>
      </c>
      <c r="G27" s="30">
        <f>SUM(C27:F27)</f>
        <v>147128.11999999985</v>
      </c>
    </row>
    <row r="28" spans="2:42" ht="13">
      <c r="B28" s="28">
        <v>44777</v>
      </c>
      <c r="C28" s="29">
        <v>49358.709999999948</v>
      </c>
      <c r="D28" s="29">
        <v>9931.4500000000062</v>
      </c>
      <c r="E28" s="29">
        <v>81500.37</v>
      </c>
      <c r="F28" s="29">
        <v>5974.1399999999967</v>
      </c>
      <c r="G28" s="30">
        <f>SUM(C28:F28)</f>
        <v>146764.66999999993</v>
      </c>
      <c r="AP28" s="17"/>
    </row>
    <row r="29" spans="2:7" ht="13">
      <c r="B29" s="28">
        <v>44805</v>
      </c>
      <c r="C29" s="29">
        <f>72542.63+3888</f>
        <v>76430.63</v>
      </c>
      <c r="D29" s="29">
        <f>6701.59</f>
        <v>6701.59</v>
      </c>
      <c r="E29" s="29">
        <f>94794.03+35680.66</f>
        <v>130474.69</v>
      </c>
      <c r="F29" s="29">
        <v>4340.2</v>
      </c>
      <c r="G29" s="30">
        <f>SUM(C29:F29)</f>
        <v>217947.11000000002</v>
      </c>
    </row>
    <row r="30" spans="2:7" ht="13">
      <c r="B30" s="28">
        <v>44835</v>
      </c>
      <c r="C30" s="29">
        <f>272.73+54098.91</f>
        <v>54371.640000000007</v>
      </c>
      <c r="D30" s="29">
        <v>12790.9</v>
      </c>
      <c r="E30" s="29">
        <f>42552.09+68708.33</f>
        <v>111260.42</v>
      </c>
      <c r="F30" s="29">
        <v>3966.65</v>
      </c>
      <c r="G30" s="30">
        <f>SUM(C30:F30)</f>
        <v>182389.61000000002</v>
      </c>
    </row>
    <row r="31" spans="2:7" ht="13">
      <c r="B31" s="28">
        <v>44866</v>
      </c>
      <c r="C31" s="29">
        <f>5547.08+70198.32</f>
        <v>75745.400000000009</v>
      </c>
      <c r="D31" s="29">
        <v>11630.51</v>
      </c>
      <c r="E31" s="29">
        <f>49364.79+63804.41</f>
        <v>113169.20000000001</v>
      </c>
      <c r="F31" s="29">
        <v>9476.59</v>
      </c>
      <c r="G31" s="30">
        <f>SUM(C31:F31)</f>
        <v>210021.7</v>
      </c>
    </row>
    <row r="32" spans="2:7" ht="12" customHeight="1">
      <c r="B32" s="28">
        <v>44897</v>
      </c>
      <c r="C32" s="29">
        <f>5699.62+55588.11</f>
        <v>61287.73</v>
      </c>
      <c r="D32" s="29">
        <v>9845.26</v>
      </c>
      <c r="E32" s="29">
        <f>39833.9+27690.23</f>
        <v>67524.13</v>
      </c>
      <c r="F32" s="29">
        <v>12815.71</v>
      </c>
      <c r="G32" s="30">
        <f>SUM(C32:F32)</f>
        <v>151472.83</v>
      </c>
    </row>
    <row r="33" spans="2:7" ht="13">
      <c r="B33" s="28">
        <v>44927</v>
      </c>
      <c r="C33" s="29">
        <f>712.76+55757.55</f>
        <v>56470.310000000005</v>
      </c>
      <c r="D33" s="29">
        <v>12372.21</v>
      </c>
      <c r="E33" s="29">
        <f>27164.14+57506.54</f>
        <v>84670.68</v>
      </c>
      <c r="F33" s="29">
        <v>24246.94</v>
      </c>
      <c r="G33" s="30">
        <f>SUM(C33:F33)</f>
        <v>177760.14</v>
      </c>
    </row>
    <row r="34" spans="2:7" ht="13">
      <c r="B34" s="28">
        <v>44958</v>
      </c>
      <c r="C34" s="29">
        <f>1190.23+30796.44</f>
        <v>31986.67</v>
      </c>
      <c r="D34" s="29">
        <v>15117.96</v>
      </c>
      <c r="E34" s="29">
        <f>30820.17+37763.71</f>
        <v>68583.88</v>
      </c>
      <c r="F34" s="29">
        <f>15967.64+2347.4</f>
        <v>18315.04</v>
      </c>
      <c r="G34" s="30">
        <f>SUM(C34:F34)</f>
        <v>134003.55000000002</v>
      </c>
    </row>
    <row r="35" spans="2:7" ht="13">
      <c r="B35" s="28">
        <v>44986</v>
      </c>
      <c r="C35" s="29">
        <f>1232.63+17190.92+9110.44</f>
        <v>27533.989999999998</v>
      </c>
      <c r="D35" s="29">
        <f>15766.68</f>
        <v>15766.68</v>
      </c>
      <c r="E35" s="29">
        <f>51111.39+6710.36+32025.39+913.39</f>
        <v>90760.53</v>
      </c>
      <c r="F35" s="29">
        <f>13172.95</f>
        <v>13172.95</v>
      </c>
      <c r="G35" s="30">
        <f>SUM(C35:F35)</f>
        <v>147234.15000000002</v>
      </c>
    </row>
    <row r="36" spans="2:7" ht="13">
      <c r="B36" s="28">
        <v>45017</v>
      </c>
      <c r="C36" s="29">
        <f>2066.85+2833.13+25491.38</f>
        <v>30391.36</v>
      </c>
      <c r="D36" s="29">
        <f>12514.12</f>
        <v>12514.12</v>
      </c>
      <c r="E36" s="29">
        <f>19082.16+3322.44+32571.87+280.4</f>
        <v>55256.87</v>
      </c>
      <c r="F36" s="29">
        <f>4511.47</f>
        <v>4511.47</v>
      </c>
      <c r="G36" s="30">
        <f>SUM(C36:F36)</f>
        <v>102673.82</v>
      </c>
    </row>
    <row r="37" spans="2:7" ht="13">
      <c r="B37" s="28">
        <v>45047</v>
      </c>
      <c r="C37" s="29">
        <f>4268.48+3271.87</f>
        <v>7540.3499999999995</v>
      </c>
      <c r="D37" s="29">
        <f>15816.41</f>
        <v>15816.41</v>
      </c>
      <c r="E37" s="29">
        <f>39299.3</f>
        <v>39299.3</v>
      </c>
      <c r="F37" s="29">
        <f>5839.31</f>
        <v>5839.31</v>
      </c>
      <c r="G37" s="30">
        <f>SUM(C37:F37)</f>
        <v>68495.37</v>
      </c>
    </row>
    <row r="38" spans="2:7" ht="13">
      <c r="B38" s="28">
        <v>45078</v>
      </c>
      <c r="C38" s="29">
        <f>6882.72+46402.84+5330.39+45788.17</f>
        <v>104404.12</v>
      </c>
      <c r="D38" s="29">
        <f>16410</f>
        <v>16410</v>
      </c>
      <c r="E38" s="29">
        <f>40960.24-72.22+64338.19+6251.28+84.4+57891.71</f>
        <v>169453.59999999998</v>
      </c>
      <c r="F38" s="29">
        <f>7682.74</f>
        <v>7682.74</v>
      </c>
      <c r="G38" s="30">
        <f>SUM(C38:F38)</f>
        <v>297950.45999999996</v>
      </c>
    </row>
    <row r="39" spans="2:7" ht="13">
      <c r="B39" s="28">
        <v>45108</v>
      </c>
      <c r="C39" s="29">
        <f>3257.26</f>
        <v>3257.26</v>
      </c>
      <c r="D39" s="29">
        <f>14662.2</f>
        <v>14662.2</v>
      </c>
      <c r="E39" s="29">
        <f>36273.09</f>
        <v>36273.09</v>
      </c>
      <c r="F39" s="29">
        <f>5893.45</f>
        <v>5893.45</v>
      </c>
      <c r="G39" s="30">
        <f>SUM(C39:F39)</f>
        <v>60085.999999999993</v>
      </c>
    </row>
    <row r="40" spans="2:7" ht="13">
      <c r="B40" s="28">
        <v>45139</v>
      </c>
      <c r="C40" s="29">
        <f>3483</f>
        <v>3483</v>
      </c>
      <c r="D40" s="29">
        <f>10564.88</f>
        <v>10564.88</v>
      </c>
      <c r="E40" s="29">
        <f>32598.42</f>
        <v>32598.42</v>
      </c>
      <c r="F40" s="29">
        <f>7143.59</f>
        <v>7143.59</v>
      </c>
      <c r="G40" s="30">
        <f>SUM(C40:F40)</f>
        <v>53789.89</v>
      </c>
    </row>
    <row r="41" spans="2:7" ht="13">
      <c r="B41" s="28">
        <v>45170</v>
      </c>
      <c r="C41" s="29">
        <f>2768</f>
        <v>2768</v>
      </c>
      <c r="D41" s="29">
        <f>17036.33</f>
        <v>17036.33</v>
      </c>
      <c r="E41" s="29">
        <f>32911.55</f>
        <v>32911.55</v>
      </c>
      <c r="F41" s="29">
        <f>6663.8</f>
        <v>6663.8</v>
      </c>
      <c r="G41" s="30">
        <f>SUM(C41:F41)</f>
        <v>59379.680000000008</v>
      </c>
    </row>
    <row r="42" spans="2:7" ht="13">
      <c r="B42" s="28">
        <v>45200</v>
      </c>
      <c r="C42" s="29">
        <f>1865.37+45326.03+18496.58+1910.9+913.21+41305.96</f>
        <v>109818.05000000002</v>
      </c>
      <c r="D42" s="29">
        <f>8505.81</f>
        <v>8505.81</v>
      </c>
      <c r="E42" s="29">
        <f>30191.28+23901.52+33007.22+5656.68+7430.05+40999.05</f>
        <v>141185.80000000002</v>
      </c>
      <c r="F42" s="29">
        <f>3933.09</f>
        <v>3933.09</v>
      </c>
      <c r="G42" s="30">
        <f>SUM(C42:F42)</f>
        <v>263442.75000000006</v>
      </c>
    </row>
    <row r="43" spans="2:7" ht="13">
      <c r="B43" s="28">
        <v>45231</v>
      </c>
      <c r="C43" s="29">
        <f>2059.37</f>
        <v>2059.37</v>
      </c>
      <c r="D43" s="29">
        <f>16324.12</f>
        <v>16324.12</v>
      </c>
      <c r="E43" s="29">
        <f>42647.69</f>
        <v>42647.69</v>
      </c>
      <c r="F43" s="29">
        <f>9012.47</f>
        <v>9012.47</v>
      </c>
      <c r="G43" s="30">
        <f>SUM(C43:F43)</f>
        <v>70043.650000000009</v>
      </c>
    </row>
    <row r="44" spans="2:7" ht="13">
      <c r="B44" s="28">
        <v>45262</v>
      </c>
      <c r="C44" s="29">
        <f>33198.06+625.95</f>
        <v>33824.009999999995</v>
      </c>
      <c r="D44" s="29">
        <v>14009.29</v>
      </c>
      <c r="E44" s="29">
        <f>41967.02+42115.02</f>
        <v>84082.04</v>
      </c>
      <c r="F44" s="29">
        <v>16406.75</v>
      </c>
      <c r="G44" s="30">
        <f>SUM(C44:F44)</f>
        <v>148322.09</v>
      </c>
    </row>
    <row r="45" spans="2:7" ht="13">
      <c r="B45" s="28">
        <v>45294</v>
      </c>
      <c r="C45" s="29">
        <f>108951.45+664.06</f>
        <v>109615.51</v>
      </c>
      <c r="D45" s="29">
        <v>7862.86</v>
      </c>
      <c r="E45" s="29">
        <f>63671.8+26716.67</f>
        <v>90388.47</v>
      </c>
      <c r="F45" s="29">
        <v>23532.69</v>
      </c>
      <c r="G45" s="30">
        <f>SUM(C45:F45)</f>
        <v>231399.53</v>
      </c>
    </row>
    <row r="46" spans="2:7" ht="13">
      <c r="B46" s="28">
        <v>45326</v>
      </c>
      <c r="C46" s="29">
        <f>34965.38+1668.35</f>
        <v>36633.729999999996</v>
      </c>
      <c r="D46" s="29">
        <v>7298.57</v>
      </c>
      <c r="E46" s="29">
        <f>20662.98+32443.95</f>
        <v>53106.93</v>
      </c>
      <c r="F46" s="29">
        <v>16079.89</v>
      </c>
      <c r="G46" s="30">
        <f>SUM(C46:F46)</f>
        <v>113119.12</v>
      </c>
    </row>
    <row r="47" spans="2:7" ht="13">
      <c r="B47" s="28">
        <v>45356</v>
      </c>
      <c r="C47" s="29">
        <f>47800.23+182.75</f>
        <v>47982.98</v>
      </c>
      <c r="D47" s="29">
        <v>15384.69</v>
      </c>
      <c r="E47" s="29">
        <f>32943.97+43446.23</f>
        <v>76390.200000000012</v>
      </c>
      <c r="F47" s="29">
        <v>10911.39</v>
      </c>
      <c r="G47" s="30">
        <f>SUM(C47:F47)</f>
        <v>150669.26</v>
      </c>
    </row>
    <row r="48" spans="2:7" ht="13">
      <c r="B48" s="28">
        <v>45388</v>
      </c>
      <c r="C48" s="29">
        <f>57431.82+689</f>
        <v>58120.82</v>
      </c>
      <c r="D48" s="29">
        <v>9293.96</v>
      </c>
      <c r="E48" s="29">
        <f>40929.95+27218.37</f>
        <v>68148.319999999992</v>
      </c>
      <c r="F48" s="29">
        <v>6415.81</v>
      </c>
      <c r="G48" s="30">
        <f>SUM(C48:F48)</f>
        <v>141978.90999999997</v>
      </c>
    </row>
    <row r="49" spans="2:7" ht="13">
      <c r="B49" s="28">
        <v>45419</v>
      </c>
      <c r="C49" s="29">
        <f>108156.76+1205</f>
        <v>109361.76</v>
      </c>
      <c r="D49" s="29">
        <v>10068.65</v>
      </c>
      <c r="E49" s="29">
        <f>28021.2+36682.02</f>
        <v>64703.22</v>
      </c>
      <c r="F49" s="29">
        <v>11319.36</v>
      </c>
      <c r="G49" s="30">
        <f>SUM(C49:F49)</f>
        <v>195452.99</v>
      </c>
    </row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</sheetData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ignoredErrors>
    <ignoredError sqref="G8:G22" formulaRange="1"/>
  </ignoredErrors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Liz Cole</dc:creator>
  <cp:keywords/>
  <cp:lastModifiedBy>Liz Cole</cp:lastModifiedBy>
  <dcterms:created xsi:type="dcterms:W3CDTF">2024-07-11T10:44:06Z</dcterms:created>
  <dcterms:modified xsi:type="dcterms:W3CDTF">2024-07-16T15:27:51Z</dcterms:modified>
  <dc:subject/>
  <dc:title>OS Allowances and expenses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